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dc-sp.epl.gov.br\DavWWWRoot\GEINF\Documentos Compartilhados\TR_Lotes_EPL\Orçamento\"/>
    </mc:Choice>
  </mc:AlternateContent>
  <bookViews>
    <workbookView xWindow="0" yWindow="0" windowWidth="25200" windowHeight="11280"/>
  </bookViews>
  <sheets>
    <sheet name="Plan1" sheetId="1" r:id="rId1"/>
  </sheets>
  <externalReferences>
    <externalReference r:id="rId2"/>
  </externalReferences>
  <definedNames>
    <definedName name="_xlnm._FilterDatabase" localSheetId="0" hidden="1">Plan1!$A$8:$I$176</definedName>
    <definedName name="_xlnm.Print_Area" localSheetId="0">Plan1!$A$1:$I$176</definedName>
    <definedName name="_xlnm.Print_Titles" localSheetId="0">Plan1!$6:$8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2" i="1" l="1"/>
  <c r="I26" i="1"/>
  <c r="I22" i="1"/>
  <c r="I18" i="1"/>
  <c r="I10" i="1"/>
  <c r="I9" i="1" l="1"/>
  <c r="C59" i="1" l="1"/>
  <c r="C172" i="1" l="1"/>
  <c r="C175" i="1" l="1"/>
  <c r="I175" i="1" s="1"/>
  <c r="C173" i="1"/>
  <c r="I173" i="1" s="1"/>
  <c r="I172" i="1" l="1"/>
  <c r="E7" i="1"/>
  <c r="F7" i="1"/>
  <c r="D175" i="1" l="1"/>
  <c r="D173" i="1"/>
  <c r="D170" i="1"/>
  <c r="D167" i="1"/>
  <c r="D164" i="1"/>
  <c r="D159" i="1"/>
  <c r="H159" i="1" s="1"/>
  <c r="D151" i="1"/>
  <c r="D149" i="1"/>
  <c r="D146" i="1"/>
  <c r="D144" i="1"/>
  <c r="D142" i="1"/>
  <c r="D139" i="1"/>
  <c r="D137" i="1"/>
  <c r="D135" i="1"/>
  <c r="D132" i="1"/>
  <c r="D130" i="1"/>
  <c r="D126" i="1"/>
  <c r="D122" i="1"/>
  <c r="D119" i="1"/>
  <c r="D112" i="1"/>
  <c r="D109" i="1"/>
  <c r="D107" i="1"/>
  <c r="D103" i="1"/>
  <c r="D100" i="1"/>
  <c r="D98" i="1"/>
  <c r="D94" i="1"/>
  <c r="D91" i="1"/>
  <c r="D89" i="1"/>
  <c r="D87" i="1"/>
  <c r="D83" i="1"/>
  <c r="D80" i="1"/>
  <c r="D78" i="1"/>
  <c r="D75" i="1"/>
  <c r="D73" i="1"/>
  <c r="D69" i="1"/>
  <c r="D67" i="1"/>
  <c r="D66" i="1"/>
  <c r="D65" i="1"/>
  <c r="D62" i="1"/>
  <c r="D59" i="1"/>
  <c r="D54" i="1"/>
  <c r="D52" i="1"/>
  <c r="D44" i="1"/>
  <c r="D42" i="1"/>
  <c r="D33" i="1"/>
  <c r="D26" i="1"/>
  <c r="D22" i="1"/>
  <c r="D18" i="1"/>
  <c r="D102" i="1" l="1"/>
  <c r="H102" i="1" s="1"/>
  <c r="D82" i="1"/>
  <c r="H82" i="1" s="1"/>
  <c r="D134" i="1"/>
  <c r="H134" i="1" s="1"/>
  <c r="D148" i="1"/>
  <c r="H148" i="1" s="1"/>
  <c r="D163" i="1"/>
  <c r="H163" i="1" s="1"/>
  <c r="D32" i="1"/>
  <c r="H32" i="1" s="1"/>
  <c r="D111" i="1"/>
  <c r="H111" i="1" s="1"/>
  <c r="D141" i="1"/>
  <c r="H141" i="1" s="1"/>
  <c r="D72" i="1"/>
  <c r="H72" i="1" s="1"/>
  <c r="D93" i="1"/>
  <c r="H93" i="1" s="1"/>
  <c r="D172" i="1"/>
  <c r="H172" i="1" s="1"/>
  <c r="D10" i="1"/>
  <c r="D9" i="1" s="1"/>
  <c r="H9" i="1" s="1"/>
  <c r="D7" i="1" l="1"/>
  <c r="H7" i="1" s="1"/>
  <c r="G172" i="1"/>
  <c r="G163" i="1"/>
  <c r="G148" i="1"/>
  <c r="G141" i="1"/>
  <c r="G134" i="1"/>
  <c r="G111" i="1"/>
  <c r="G102" i="1"/>
  <c r="G93" i="1"/>
  <c r="G82" i="1"/>
  <c r="G72" i="1"/>
  <c r="G32" i="1"/>
  <c r="G9" i="1"/>
  <c r="G7" i="1" l="1"/>
  <c r="C163" i="1" l="1"/>
  <c r="C42" i="1" l="1"/>
  <c r="C170" i="1"/>
  <c r="I170" i="1" s="1"/>
  <c r="C167" i="1"/>
  <c r="I167" i="1" s="1"/>
  <c r="C164" i="1"/>
  <c r="I164" i="1" s="1"/>
  <c r="I163" i="1" l="1"/>
  <c r="C52" i="1" l="1"/>
  <c r="C159" i="1" l="1"/>
  <c r="C65" i="1" l="1"/>
  <c r="C67" i="1" l="1"/>
  <c r="C69" i="1"/>
  <c r="C54" i="1" l="1"/>
  <c r="C44" i="1" l="1"/>
  <c r="C33" i="1"/>
  <c r="C9" i="1"/>
  <c r="C134" i="1"/>
  <c r="C148" i="1"/>
  <c r="C141" i="1"/>
  <c r="C32" i="1" l="1"/>
  <c r="I33" i="1" s="1"/>
  <c r="C31" i="1"/>
  <c r="C27" i="1"/>
  <c r="C25" i="1"/>
  <c r="C20" i="1"/>
  <c r="C30" i="1"/>
  <c r="C12" i="1"/>
  <c r="C29" i="1"/>
  <c r="C15" i="1"/>
  <c r="C26" i="1"/>
  <c r="C11" i="1"/>
  <c r="C10" i="1"/>
  <c r="C28" i="1"/>
  <c r="C14" i="1"/>
  <c r="C19" i="1"/>
  <c r="C24" i="1"/>
  <c r="C17" i="1"/>
  <c r="C22" i="1"/>
  <c r="C13" i="1"/>
  <c r="C21" i="1"/>
  <c r="C18" i="1"/>
  <c r="C16" i="1"/>
  <c r="C23" i="1"/>
  <c r="C142" i="1"/>
  <c r="I142" i="1" s="1"/>
  <c r="C146" i="1"/>
  <c r="I146" i="1" s="1"/>
  <c r="C144" i="1"/>
  <c r="I144" i="1" s="1"/>
  <c r="C151" i="1"/>
  <c r="I151" i="1" s="1"/>
  <c r="C149" i="1"/>
  <c r="I149" i="1" s="1"/>
  <c r="C75" i="1"/>
  <c r="F75" i="1"/>
  <c r="C139" i="1"/>
  <c r="I139" i="1" s="1"/>
  <c r="C135" i="1"/>
  <c r="I135" i="1" s="1"/>
  <c r="C137" i="1"/>
  <c r="I137" i="1" s="1"/>
  <c r="C78" i="1"/>
  <c r="C73" i="1"/>
  <c r="C80" i="1"/>
  <c r="I148" i="1" l="1"/>
  <c r="I67" i="1"/>
  <c r="I69" i="1"/>
  <c r="I42" i="1"/>
  <c r="I62" i="1"/>
  <c r="I52" i="1"/>
  <c r="I65" i="1"/>
  <c r="I59" i="1"/>
  <c r="I54" i="1"/>
  <c r="I44" i="1"/>
  <c r="C72" i="1"/>
  <c r="I80" i="1" s="1"/>
  <c r="I134" i="1"/>
  <c r="I141" i="1"/>
  <c r="I32" i="1" l="1"/>
  <c r="I78" i="1"/>
  <c r="I73" i="1"/>
  <c r="I75" i="1"/>
  <c r="I72" i="1" l="1"/>
  <c r="C1" i="1" l="1"/>
  <c r="C2" i="1" s="1"/>
  <c r="C111" i="1" l="1"/>
  <c r="C119" i="1" s="1"/>
  <c r="I119" i="1" s="1"/>
  <c r="C102" i="1"/>
  <c r="C107" i="1" s="1"/>
  <c r="C93" i="1"/>
  <c r="C100" i="1" s="1"/>
  <c r="I100" i="1" s="1"/>
  <c r="C82" i="1"/>
  <c r="C83" i="1" s="1"/>
  <c r="I83" i="1" s="1"/>
  <c r="C98" i="1" l="1"/>
  <c r="I98" i="1" s="1"/>
  <c r="C87" i="1"/>
  <c r="I87" i="1" s="1"/>
  <c r="C91" i="1"/>
  <c r="I91" i="1" s="1"/>
  <c r="C126" i="1"/>
  <c r="I126" i="1" s="1"/>
  <c r="C122" i="1"/>
  <c r="I122" i="1" s="1"/>
  <c r="C89" i="1"/>
  <c r="I89" i="1" s="1"/>
  <c r="C7" i="1"/>
  <c r="C132" i="1"/>
  <c r="I132" i="1" s="1"/>
  <c r="C103" i="1"/>
  <c r="I103" i="1" s="1"/>
  <c r="C109" i="1"/>
  <c r="I109" i="1" s="1"/>
  <c r="C130" i="1"/>
  <c r="I130" i="1" s="1"/>
  <c r="C112" i="1"/>
  <c r="I112" i="1" s="1"/>
  <c r="C94" i="1"/>
  <c r="I94" i="1" s="1"/>
  <c r="I107" i="1"/>
  <c r="I93" i="1" l="1"/>
  <c r="I82" i="1"/>
  <c r="I102" i="1"/>
  <c r="I111" i="1"/>
</calcChain>
</file>

<file path=xl/comments1.xml><?xml version="1.0" encoding="utf-8"?>
<comments xmlns="http://schemas.openxmlformats.org/spreadsheetml/2006/main">
  <authors>
    <author>Marcele Dorneles Bravo</author>
  </authors>
  <commentList>
    <comment ref="B171" authorId="0" shapeId="0">
      <text>
        <r>
          <rPr>
            <b/>
            <sz val="9"/>
            <color indexed="81"/>
            <rFont val="Segoe UI"/>
            <family val="2"/>
          </rPr>
          <t>Marcele Dorneles Bravo:</t>
        </r>
        <r>
          <rPr>
            <sz val="9"/>
            <color indexed="81"/>
            <rFont val="Segoe UI"/>
            <family val="2"/>
          </rPr>
          <t xml:space="preserve">
Podemos contemplar na modelagem jurídica?</t>
        </r>
      </text>
    </comment>
    <comment ref="B176" authorId="0" shapeId="0">
      <text>
        <r>
          <rPr>
            <b/>
            <sz val="9"/>
            <color indexed="81"/>
            <rFont val="Segoe UI"/>
            <family val="2"/>
          </rPr>
          <t>Marcele Dorneles Bravo:</t>
        </r>
        <r>
          <rPr>
            <sz val="9"/>
            <color indexed="81"/>
            <rFont val="Segoe UI"/>
            <family val="2"/>
          </rPr>
          <t xml:space="preserve">
Podemos contemplar na modelagem jurídica?
</t>
        </r>
      </text>
    </comment>
  </commentList>
</comments>
</file>

<file path=xl/sharedStrings.xml><?xml version="1.0" encoding="utf-8"?>
<sst xmlns="http://schemas.openxmlformats.org/spreadsheetml/2006/main" count="234" uniqueCount="178">
  <si>
    <t>Levantamento topográfico</t>
  </si>
  <si>
    <t>Cadastro Geral da Rodovia</t>
  </si>
  <si>
    <t>Vídeo registro</t>
  </si>
  <si>
    <t>Sistema de visualização + fotos e filme georreferenciados</t>
  </si>
  <si>
    <t>Item</t>
  </si>
  <si>
    <t>Levantamento de pavimentos</t>
  </si>
  <si>
    <t>Estudos de Tráfego</t>
  </si>
  <si>
    <t>Plano de Trabalho</t>
  </si>
  <si>
    <t>Estudos Ambientais</t>
  </si>
  <si>
    <t>Trabalhos Iniciais</t>
  </si>
  <si>
    <t>Modelo Operacional</t>
  </si>
  <si>
    <t>Relatório + banco de dados de Cadastro de passivos ambientais</t>
  </si>
  <si>
    <t>Relatório + banco de dados de Cadastro de passivos sociais</t>
  </si>
  <si>
    <t>Levantamentos de Campo</t>
  </si>
  <si>
    <t>Estudos Sócio-Ambientais</t>
  </si>
  <si>
    <t>Relatório de Estudos Sócio-ambientais</t>
  </si>
  <si>
    <t>Programa de Recuperação</t>
  </si>
  <si>
    <t>Manutenção Periódica e Conservação</t>
  </si>
  <si>
    <t>Ampliação de Capacidade e Melhorias</t>
  </si>
  <si>
    <t>Relatório de compilação de dados existentes por disciplina</t>
  </si>
  <si>
    <t>Projeto Funcional</t>
  </si>
  <si>
    <t>Geotecnia / Geologia</t>
  </si>
  <si>
    <t>Descrição</t>
  </si>
  <si>
    <t>Retigráfico situação projetada</t>
  </si>
  <si>
    <t>Plano de trabalho separado por disciplina</t>
  </si>
  <si>
    <t>Plano de trabalho separado por disciplina (demais disciplinas)</t>
  </si>
  <si>
    <t>Relatório de memória de quantidades</t>
  </si>
  <si>
    <t>Modelo Econômico-Financeiro</t>
  </si>
  <si>
    <t>Relatório Final Consolidado</t>
  </si>
  <si>
    <t>Planilha MEF</t>
  </si>
  <si>
    <t>Arquivos do HDM-4 montados com cadastro de segmentos homogêneo e respectivas características técnicas - pav. existente</t>
  </si>
  <si>
    <t>Arquivos do HDM-4 montados com cadastro de segmentos homogêneo e respectivas características técnicas - pav. Novos</t>
  </si>
  <si>
    <t>Programa de Manutenção de Pavimentos Existentes - relatórios de saída do HDM com pelo menos 2 cenários alternativos</t>
  </si>
  <si>
    <t>Programa de Manutenção de Pavimentos Novos - relatórios de saída do HDM com pelo menos 2 cenários alternativos</t>
  </si>
  <si>
    <t>Programa de Pavimentação</t>
  </si>
  <si>
    <t>Relatório de Estudo de Dimensionamento de Alternativas de Pavimento (rígido e flexível)</t>
  </si>
  <si>
    <t>iRap</t>
  </si>
  <si>
    <t>Quantificação das contramedidas previstas para as fases da Concessão (TI, Recuperação e Ampliação)</t>
  </si>
  <si>
    <t>Relatório de programação de sondagens</t>
  </si>
  <si>
    <t>Relatório de resultados de sondagens / ensaios</t>
  </si>
  <si>
    <t>Modelo BIM preliminar contendo as superfícies representativas das camadas inferidas para 1ª, 2ª e 3ª categorias com base nos dados coletados e de campo, e topografia do terreno</t>
  </si>
  <si>
    <t>Desenhos e pranchas em dgw, com filtros, padrões e layers aplicados, inclusive extração de quantidades de elementos existentes</t>
  </si>
  <si>
    <t>Planilhas de cadastro, inclusive resumo de quantidades de elementos existentes</t>
  </si>
  <si>
    <t>Relatório Consolidado de Geologia / Geotecnia contendo mapeamento consolidado</t>
  </si>
  <si>
    <t>Relatório de Levantamento Visual (IGG, LVC, PRO-07), IRI/QI e FWD + planilhas formato EPL</t>
  </si>
  <si>
    <t>Retigráfico situação existente com link automático aos bancos de dados de cadastros</t>
  </si>
  <si>
    <t>Retigráfico elementos existentes constantes no cadastro versus contramedidas propostas pelo software (link automático às planilçhas de saída do software)</t>
  </si>
  <si>
    <t>Desenhos e pranchas (planta e pefil) em dwg, com filtros, padrões e layers aplicados, inclusive extração de quantidades de elementos existentes com os dados consolidados do levantamento topográfico, vídeo-registro, contramedidas propostas pelo iRap</t>
  </si>
  <si>
    <t>Modelo BIM das ampliações propostas, inclusive extração de quantidades dos desenhos</t>
  </si>
  <si>
    <t>Modelo Digital do Terreno (MDT) para BIM, contendo a superfície do terreno existente e delimitação de bacias de contribuição de drenagem</t>
  </si>
  <si>
    <t>Dados brutos dos levantamentos de campo (nuvem de pontos e imagens aéreas)</t>
  </si>
  <si>
    <t>Projeto Funcional (planta, perfil e seção-tipo) das ampliações em dwg (pranchas) e pdf, inclusive extração de quantidades dos desenhos</t>
  </si>
  <si>
    <t>Gestão do Projeto</t>
  </si>
  <si>
    <t>Relatório de subsídios de respostas às contribuições da audiência pública</t>
  </si>
  <si>
    <t>Cadastro em planilha padrão e elaboração de kmz padrão com os pleitos da audiência pública</t>
  </si>
  <si>
    <t>Apoio à fase de Subísidos ao Órgão de Controle Externo</t>
  </si>
  <si>
    <t>Apoio à fase de Audiência Pública</t>
  </si>
  <si>
    <t>Relatório de subsídios a eventuais questionamentos órgão de controle externo</t>
  </si>
  <si>
    <t>Plano de trabalho (Outros)</t>
  </si>
  <si>
    <t>Orçamento</t>
  </si>
  <si>
    <t>Planilhas com cálculo do FIT,  DMT, Aquisição e Transporte de Material betuminoso</t>
  </si>
  <si>
    <t>Planilha MEF total com cálculo da Administração Local, canteiros, Mobilização e Desmobilização</t>
  </si>
  <si>
    <t>Planilhas com composições de custo unitário, BDI, quantitativos consolidados e Curva ABC</t>
  </si>
  <si>
    <t>Levantamentos Primários de Dados de Tráfego com arquivo kmz conforme determinado no Termo de Referência.</t>
  </si>
  <si>
    <t>Relatório de Tráfego - Situação Atual</t>
  </si>
  <si>
    <t>• Caracterização da Concessão e da Região de Inserção do Lote.
• Levantamento e processamento de dados primários e secundários.
• Determinação do Volume Diário Médio Anual no ano base.
• Arquivos conforme determinado no Termo de Referência.</t>
  </si>
  <si>
    <t>• Determinação do Custo de Viagem.
• Sistema de Transporte e Rede Georreferenciada.
• Zoneamento
• Localização das praças de pedágio
• Arquivos conforme determinado no Termo de Referência.</t>
  </si>
  <si>
    <t>• Alocação de viagens.
• Matriz Origem-Destino no ano base.
• Carregamento do sistema no ano base.
• Arquivos conforme determinado no Termo de Referência.</t>
  </si>
  <si>
    <t>Relatório de Tráfego - Tráfego ao longo da concessão</t>
  </si>
  <si>
    <t>• Modelo de Projeção.
• Arquivos conforme determinado no Termo de Referência.</t>
  </si>
  <si>
    <t>• Previsão de intervenções no sistema.
• Matrizes Origem-Destino futuras.
• Carregamento do sistema ao longo da concessão.
• Arquivos conforme determinado no Termo de Referência.</t>
  </si>
  <si>
    <t>• Consolidação da localização das praças de pedágio.
• Arquivos conforme determinado no Termo de Referência.</t>
  </si>
  <si>
    <t>Relatório de Tráfego - Dimensionamento de Infraestrutura</t>
  </si>
  <si>
    <t>• Avaliação do nível de serviço sem a realização de obras de melhorias e ampliação de capacidade de acordo com o HCM.
• Avaliação da necessidade de implantação de faixas adicionais em rampas ascedentes e descendentes.
• Arquivos conforme determinado no Termo de Referência.</t>
  </si>
  <si>
    <t>• Avaliação do nível de serviço com a realização de obras de melhorias e ampliação de capacidade de acordo com o HCM.
• Listagem de intervenções por segmento homogêneo e ano de implantação.
• Arquivos conforme determinado no Termo de Referência.</t>
  </si>
  <si>
    <t>• Posicionamento, identificação e dimensionamento de dispositivos e intersecções no sistema.
• Arquivos conforme determinado no Termo de Referência.</t>
  </si>
  <si>
    <t>• Dimensionamento das praças de pedágio.
• Arquivos conforme determinado no Termo de Referência.</t>
  </si>
  <si>
    <t>• Cálculos de apoio ao dimensionamento do pavimento.
• Arquivos conforme determinado no Termo de Referência.</t>
  </si>
  <si>
    <t>Modelagem Juríca</t>
  </si>
  <si>
    <t>Plano de trabalho</t>
  </si>
  <si>
    <t>Relatório de Promoção</t>
  </si>
  <si>
    <t>Relatório de Promoção e Road Shows</t>
  </si>
  <si>
    <t>Frente de Promoção</t>
  </si>
  <si>
    <t>Tratamento, Análise e Consolidação dos Dados de Tráfego</t>
  </si>
  <si>
    <t>Montagem da Rede de Transportes e Base Georreferenciada</t>
  </si>
  <si>
    <t>Alocação de Tráfego e Modelo de Projeção de Tráfego</t>
  </si>
  <si>
    <t>Análise de obras de melhorias e ampliação de capacidade</t>
  </si>
  <si>
    <t>Dimensionamento da Praça de Pedágio</t>
  </si>
  <si>
    <t>Cálculos Auxiliares ao Dimensionamento do Pavimento</t>
  </si>
  <si>
    <t>Geologia / Geotecnia</t>
  </si>
  <si>
    <t>Pavimento</t>
  </si>
  <si>
    <t>Modelagem Jurídica</t>
  </si>
  <si>
    <t>Minuta de PER</t>
  </si>
  <si>
    <t>Minuta de Edital e Anexos</t>
  </si>
  <si>
    <t>Minuta de Contrato e Anexos</t>
  </si>
  <si>
    <t>Tradução de documentos</t>
  </si>
  <si>
    <t>Planilha resumo para ANTT</t>
  </si>
  <si>
    <t>Assessoria Jurídica</t>
  </si>
  <si>
    <t>Geometria / Terraplenagem</t>
  </si>
  <si>
    <t>Sinalização, Segurança e Iluminação</t>
  </si>
  <si>
    <t>OAEs</t>
  </si>
  <si>
    <t>Drenagem, Interferências e demais disciplinas</t>
  </si>
  <si>
    <t>Quantificação e orçamentação</t>
  </si>
  <si>
    <t xml:space="preserve">Orçamentação </t>
  </si>
  <si>
    <t>Compilação de dados gerais existentes</t>
  </si>
  <si>
    <t>Avaliação de Velocidades das Vias Existentes</t>
  </si>
  <si>
    <t>iRAP</t>
  </si>
  <si>
    <t>Avaliação de velocidade das vias existentes</t>
  </si>
  <si>
    <t>Velocidades admissíveis</t>
  </si>
  <si>
    <t>Inspeção de obras de arte especiais</t>
  </si>
  <si>
    <t>Relatório de Inspeção contendo fichas, croquis e fotos</t>
  </si>
  <si>
    <t xml:space="preserve">Cadastro de Interferências </t>
  </si>
  <si>
    <t>Relatório contendo fichas, croquis e fotos</t>
  </si>
  <si>
    <t>Cadastro de interferências</t>
  </si>
  <si>
    <t>Programa de manutenção de pavimentos</t>
  </si>
  <si>
    <t>1.1</t>
  </si>
  <si>
    <t>1.2</t>
  </si>
  <si>
    <t>1.3</t>
  </si>
  <si>
    <t>1.4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</si>
  <si>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</si>
  <si>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</si>
  <si>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</si>
  <si>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</si>
  <si>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</si>
  <si>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</si>
  <si>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</si>
  <si>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</si>
  <si>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</si>
  <si>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</si>
  <si>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3.1</t>
  </si>
  <si>
    <t>3.2</t>
  </si>
  <si>
    <t>3.3</t>
  </si>
  <si>
    <t>3.4</t>
  </si>
  <si>
    <t>4.1</t>
  </si>
  <si>
    <t>4.2</t>
  </si>
  <si>
    <t>4.3</t>
  </si>
  <si>
    <t>4.4</t>
  </si>
  <si>
    <t>5.1</t>
  </si>
  <si>
    <t>5.2</t>
  </si>
  <si>
    <t>5.3</t>
  </si>
  <si>
    <t>6.1</t>
  </si>
  <si>
    <t>6.2</t>
  </si>
  <si>
    <t>6.3</t>
  </si>
  <si>
    <t>7.1</t>
  </si>
  <si>
    <t>7.2</t>
  </si>
  <si>
    <t>7.3</t>
  </si>
  <si>
    <t>7.4</t>
  </si>
  <si>
    <t>7.5</t>
  </si>
  <si>
    <t>8.1</t>
  </si>
  <si>
    <t>8.2</t>
  </si>
  <si>
    <t>8.3</t>
  </si>
  <si>
    <t>9.1</t>
  </si>
  <si>
    <t>9.2</t>
  </si>
  <si>
    <t>9.3</t>
  </si>
  <si>
    <t>10.1</t>
  </si>
  <si>
    <t>10.2</t>
  </si>
  <si>
    <r>
      <rPr>
        <sz val="7"/>
        <rFont val="Calibri"/>
        <family val="2"/>
        <scheme val="minor"/>
      </rPr>
      <t xml:space="preserve"> </t>
    </r>
    <r>
      <rPr>
        <i/>
        <sz val="11"/>
        <rFont val="Calibri"/>
        <family val="2"/>
        <scheme val="minor"/>
      </rPr>
      <t>Due diligence</t>
    </r>
    <r>
      <rPr>
        <sz val="11"/>
        <rFont val="Calibri"/>
        <family val="2"/>
        <scheme val="minor"/>
      </rPr>
      <t xml:space="preserve"> jurídico-institucional</t>
    </r>
  </si>
  <si>
    <t>Valor do item
(R$)</t>
  </si>
  <si>
    <t>7.6</t>
  </si>
  <si>
    <t>12.1</t>
  </si>
  <si>
    <t>12.2</t>
  </si>
  <si>
    <t>12.3</t>
  </si>
  <si>
    <t>13.1</t>
  </si>
  <si>
    <t>13.2</t>
  </si>
  <si>
    <t>Entrega do modelo em formato aberto nativo AutoCAD Civil 3D 2021</t>
  </si>
  <si>
    <t>Entrega do modelo em formato aberto nativo Autodesk Infraworks 2021</t>
  </si>
  <si>
    <t>Entrega do modelo em formato aberto nativo Autodesk Navisworks Manage 2021</t>
  </si>
  <si>
    <t>EGIS</t>
  </si>
  <si>
    <t>HOUER</t>
  </si>
  <si>
    <t>LOGIT</t>
  </si>
  <si>
    <t>Porcentagens</t>
  </si>
  <si>
    <t>ORÇAMENTO EPL</t>
  </si>
  <si>
    <t>COTAÇÕES DE MERCADO</t>
  </si>
  <si>
    <t>VALOR TOTAL (R$):</t>
  </si>
  <si>
    <t>MÉDIA DAS COTAÇÕES CONSIDERADAS APTAS</t>
  </si>
  <si>
    <t>Pavesys(*)</t>
  </si>
  <si>
    <r>
      <rPr>
        <b/>
        <u/>
        <sz val="11"/>
        <rFont val="Calibri"/>
        <family val="2"/>
        <scheme val="minor"/>
      </rPr>
      <t>Nota:</t>
    </r>
    <r>
      <rPr>
        <b/>
        <sz val="11"/>
        <rFont val="Calibri"/>
        <family val="2"/>
        <scheme val="minor"/>
      </rPr>
      <t xml:space="preserve">
(*) Cotação considerada inapta por estar com valor demasiadamente defasado em relação às demais.</t>
    </r>
  </si>
  <si>
    <t>Grupo A - Orçamentos Referenciais de Preços dos Produtos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</si>
</sst>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_-;\-* #,##0.0_-;_-* &quot;-&quot;?_-;_-@_-"/>
    <numFmt numFmtId="165" formatCode="0.0%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1"/>
      <name val="Calibri"/>
      <family val="2"/>
      <scheme val="minor"/>
    </font>
    <font>
      <sz val="7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93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justify" vertic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9" fillId="2" borderId="7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left" vertical="center"/>
    </xf>
    <xf numFmtId="0" fontId="9" fillId="4" borderId="7" xfId="0" applyFont="1" applyFill="1" applyBorder="1" applyAlignment="1">
      <alignment horizontal="left" vertical="center"/>
    </xf>
    <xf numFmtId="0" fontId="6" fillId="0" borderId="7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/>
    </xf>
    <xf numFmtId="0" fontId="6" fillId="0" borderId="7" xfId="0" applyFont="1" applyFill="1" applyBorder="1" applyAlignment="1">
      <alignment horizontal="justify" vertical="center" wrapText="1"/>
    </xf>
    <xf numFmtId="0" fontId="6" fillId="0" borderId="7" xfId="0" applyFont="1" applyBorder="1" applyAlignment="1">
      <alignment horizontal="justify" vertical="center" wrapText="1"/>
    </xf>
    <xf numFmtId="0" fontId="9" fillId="0" borderId="7" xfId="0" applyFont="1" applyFill="1" applyBorder="1" applyAlignment="1">
      <alignment horizontal="left" vertical="center"/>
    </xf>
    <xf numFmtId="164" fontId="0" fillId="0" borderId="0" xfId="0" applyNumberFormat="1" applyAlignment="1">
      <alignment horizontal="right" vertical="center"/>
    </xf>
    <xf numFmtId="164" fontId="0" fillId="0" borderId="0" xfId="0" applyNumberFormat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right" vertical="center"/>
    </xf>
    <xf numFmtId="164" fontId="9" fillId="3" borderId="1" xfId="0" applyNumberFormat="1" applyFont="1" applyFill="1" applyBorder="1" applyAlignment="1">
      <alignment horizontal="right" vertical="center"/>
    </xf>
    <xf numFmtId="164" fontId="9" fillId="3" borderId="1" xfId="1" applyNumberFormat="1" applyFont="1" applyFill="1" applyBorder="1" applyAlignment="1">
      <alignment horizontal="center" vertical="center"/>
    </xf>
    <xf numFmtId="164" fontId="1" fillId="4" borderId="1" xfId="1" applyNumberFormat="1" applyFont="1" applyFill="1" applyBorder="1" applyAlignment="1">
      <alignment horizontal="right" vertical="center"/>
    </xf>
    <xf numFmtId="164" fontId="9" fillId="4" borderId="1" xfId="0" applyNumberFormat="1" applyFont="1" applyFill="1" applyBorder="1" applyAlignment="1">
      <alignment horizontal="right" vertical="center"/>
    </xf>
    <xf numFmtId="164" fontId="1" fillId="4" borderId="1" xfId="1" applyNumberFormat="1" applyFont="1" applyFill="1" applyBorder="1" applyAlignment="1">
      <alignment horizontal="left" vertical="center"/>
    </xf>
    <xf numFmtId="164" fontId="0" fillId="0" borderId="1" xfId="0" applyNumberForma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164" fontId="0" fillId="0" borderId="1" xfId="0" applyNumberForma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right" vertical="center"/>
    </xf>
    <xf numFmtId="164" fontId="0" fillId="0" borderId="1" xfId="0" applyNumberFormat="1" applyBorder="1" applyAlignment="1">
      <alignment horizontal="left" vertical="center"/>
    </xf>
    <xf numFmtId="164" fontId="1" fillId="4" borderId="1" xfId="0" applyNumberFormat="1" applyFont="1" applyFill="1" applyBorder="1" applyAlignment="1">
      <alignment horizontal="right" vertical="center"/>
    </xf>
    <xf numFmtId="164" fontId="6" fillId="0" borderId="1" xfId="0" applyNumberFormat="1" applyFont="1" applyFill="1" applyBorder="1" applyAlignment="1">
      <alignment horizontal="right" vertical="center" wrapText="1"/>
    </xf>
    <xf numFmtId="164" fontId="0" fillId="0" borderId="1" xfId="0" applyNumberFormat="1" applyFont="1" applyFill="1" applyBorder="1" applyAlignment="1">
      <alignment horizontal="justify" vertical="center" wrapText="1"/>
    </xf>
    <xf numFmtId="164" fontId="0" fillId="0" borderId="1" xfId="0" applyNumberFormat="1" applyFont="1" applyBorder="1" applyAlignment="1">
      <alignment horizontal="justify" vertical="center" wrapText="1"/>
    </xf>
    <xf numFmtId="164" fontId="0" fillId="0" borderId="1" xfId="0" applyNumberFormat="1" applyBorder="1" applyAlignment="1">
      <alignment horizontal="right" vertical="center"/>
    </xf>
    <xf numFmtId="164" fontId="6" fillId="0" borderId="1" xfId="0" applyNumberFormat="1" applyFont="1" applyBorder="1" applyAlignment="1">
      <alignment horizontal="left" vertical="center"/>
    </xf>
    <xf numFmtId="164" fontId="11" fillId="0" borderId="1" xfId="0" applyNumberFormat="1" applyFont="1" applyBorder="1" applyAlignment="1">
      <alignment horizontal="left" vertical="center"/>
    </xf>
    <xf numFmtId="164" fontId="9" fillId="0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Fill="1" applyBorder="1" applyAlignment="1">
      <alignment horizontal="left" vertical="center"/>
    </xf>
    <xf numFmtId="164" fontId="11" fillId="0" borderId="1" xfId="0" applyNumberFormat="1" applyFont="1" applyBorder="1" applyAlignment="1">
      <alignment horizontal="justify" vertical="center"/>
    </xf>
    <xf numFmtId="164" fontId="6" fillId="0" borderId="1" xfId="0" applyNumberFormat="1" applyFont="1" applyBorder="1" applyAlignment="1">
      <alignment horizontal="right"/>
    </xf>
    <xf numFmtId="164" fontId="11" fillId="0" borderId="1" xfId="0" applyNumberFormat="1" applyFont="1" applyBorder="1"/>
    <xf numFmtId="0" fontId="1" fillId="2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Font="1" applyFill="1" applyBorder="1" applyAlignment="1">
      <alignment horizontal="justify" vertical="center" wrapText="1"/>
    </xf>
    <xf numFmtId="0" fontId="0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164" fontId="9" fillId="0" borderId="3" xfId="1" applyNumberFormat="1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6" xfId="0" applyBorder="1" applyAlignment="1">
      <alignment horizontal="left" vertical="center"/>
    </xf>
    <xf numFmtId="4" fontId="1" fillId="3" borderId="6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43" fontId="1" fillId="4" borderId="6" xfId="0" applyNumberFormat="1" applyFont="1" applyFill="1" applyBorder="1" applyAlignment="1">
      <alignment horizontal="left" vertical="center"/>
    </xf>
    <xf numFmtId="43" fontId="9" fillId="4" borderId="6" xfId="0" applyNumberFormat="1" applyFont="1" applyFill="1" applyBorder="1" applyAlignment="1">
      <alignment horizontal="left" vertical="center"/>
    </xf>
    <xf numFmtId="4" fontId="9" fillId="3" borderId="6" xfId="0" applyNumberFormat="1" applyFont="1" applyFill="1" applyBorder="1" applyAlignment="1">
      <alignment horizontal="center" vertical="center"/>
    </xf>
    <xf numFmtId="43" fontId="1" fillId="4" borderId="1" xfId="0" applyNumberFormat="1" applyFont="1" applyFill="1" applyBorder="1" applyAlignment="1">
      <alignment horizontal="left" vertical="center"/>
    </xf>
    <xf numFmtId="165" fontId="1" fillId="3" borderId="3" xfId="2" applyNumberFormat="1" applyFont="1" applyFill="1" applyBorder="1" applyAlignment="1">
      <alignment horizontal="center" vertical="center"/>
    </xf>
    <xf numFmtId="165" fontId="1" fillId="4" borderId="1" xfId="0" applyNumberFormat="1" applyFont="1" applyFill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4" fontId="1" fillId="4" borderId="6" xfId="0" applyNumberFormat="1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1" fillId="4" borderId="6" xfId="0" applyFont="1" applyFill="1" applyBorder="1" applyAlignment="1">
      <alignment horizontal="left" vertical="center"/>
    </xf>
    <xf numFmtId="164" fontId="12" fillId="6" borderId="0" xfId="0" applyNumberFormat="1" applyFont="1" applyFill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1" fillId="7" borderId="4" xfId="0" applyNumberFormat="1" applyFont="1" applyFill="1" applyBorder="1" applyAlignment="1">
      <alignment horizontal="center" vertical="center"/>
    </xf>
    <xf numFmtId="164" fontId="9" fillId="7" borderId="4" xfId="1" applyNumberFormat="1" applyFont="1" applyFill="1" applyBorder="1" applyAlignment="1">
      <alignment horizontal="center" vertical="center"/>
    </xf>
    <xf numFmtId="164" fontId="9" fillId="7" borderId="4" xfId="1" applyNumberFormat="1" applyFont="1" applyFill="1" applyBorder="1" applyAlignment="1">
      <alignment horizontal="center" vertical="center" wrapText="1"/>
    </xf>
    <xf numFmtId="164" fontId="1" fillId="5" borderId="1" xfId="0" applyNumberFormat="1" applyFont="1" applyFill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164" fontId="1" fillId="7" borderId="7" xfId="0" applyNumberFormat="1" applyFont="1" applyFill="1" applyBorder="1" applyAlignment="1">
      <alignment horizontal="center" vertical="center"/>
    </xf>
    <xf numFmtId="164" fontId="1" fillId="7" borderId="5" xfId="0" applyNumberFormat="1" applyFont="1" applyFill="1" applyBorder="1" applyAlignment="1">
      <alignment horizontal="center" vertical="center"/>
    </xf>
    <xf numFmtId="164" fontId="1" fillId="7" borderId="6" xfId="0" applyNumberFormat="1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right" vertical="center" indent="1"/>
    </xf>
    <xf numFmtId="0" fontId="9" fillId="0" borderId="0" xfId="0" applyFont="1" applyAlignment="1">
      <alignment horizontal="center" vertical="center" wrapText="1"/>
    </xf>
    <xf numFmtId="164" fontId="9" fillId="8" borderId="1" xfId="1" applyNumberFormat="1" applyFont="1" applyFill="1" applyBorder="1" applyAlignment="1">
      <alignment horizontal="center" vertical="center" wrapText="1"/>
    </xf>
    <xf numFmtId="164" fontId="9" fillId="8" borderId="4" xfId="1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adc-sp.epl.gov.br/GEINF/Documentos%20Compartilhados/TR_Lotes_EPL/Or&#231;amento/Anexo1_Or&#231;amento_Grupo%20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Referência"/>
      <sheetName val="Comunicação"/>
      <sheetName val="EVTEA"/>
      <sheetName val="Parte A"/>
      <sheetName val="Parte B"/>
      <sheetName val="DIÁRIAS E PASSAGENS "/>
      <sheetName val="TPU 06_20"/>
      <sheetName val="Passagens"/>
      <sheetName val="Plan4"/>
      <sheetName val="TPU VersãoA MAR 2020-D"/>
    </sheetNames>
    <sheetDataSet>
      <sheetData sheetId="0" refreshError="1">
        <row r="10">
          <cell r="E10">
            <v>25925981.131428804</v>
          </cell>
        </row>
      </sheetData>
      <sheetData sheetId="1" refreshError="1"/>
      <sheetData sheetId="2">
        <row r="11">
          <cell r="B11">
            <v>600000</v>
          </cell>
        </row>
      </sheetData>
      <sheetData sheetId="3" refreshError="1"/>
      <sheetData sheetId="4" refreshError="1">
        <row r="5">
          <cell r="F5">
            <v>1000440</v>
          </cell>
        </row>
        <row r="10">
          <cell r="F10">
            <v>8960956.0624782965</v>
          </cell>
        </row>
        <row r="14">
          <cell r="F14">
            <v>1354819.0889999999</v>
          </cell>
        </row>
        <row r="22">
          <cell r="F22">
            <v>1850776.7359111113</v>
          </cell>
        </row>
        <row r="36">
          <cell r="F36">
            <v>355591.75199999998</v>
          </cell>
        </row>
        <row r="37">
          <cell r="F37">
            <v>501179.7240000001</v>
          </cell>
        </row>
        <row r="38">
          <cell r="F38">
            <v>28688.822</v>
          </cell>
        </row>
        <row r="39">
          <cell r="F39">
            <v>267777.35083149432</v>
          </cell>
        </row>
      </sheetData>
      <sheetData sheetId="5">
        <row r="5">
          <cell r="G5">
            <v>2330710.6545402175</v>
          </cell>
        </row>
        <row r="37">
          <cell r="G37">
            <v>83273.943009701063</v>
          </cell>
        </row>
        <row r="56">
          <cell r="G56">
            <v>268200.85287999589</v>
          </cell>
        </row>
        <row r="72">
          <cell r="G72">
            <v>947511.31828615977</v>
          </cell>
        </row>
        <row r="85">
          <cell r="G85">
            <v>121863.10529333337</v>
          </cell>
        </row>
        <row r="110">
          <cell r="G110">
            <v>330952.48258716421</v>
          </cell>
        </row>
        <row r="126">
          <cell r="G126">
            <v>354590.37569638347</v>
          </cell>
        </row>
        <row r="152">
          <cell r="G152">
            <v>1181827.9593017334</v>
          </cell>
        </row>
        <row r="160">
          <cell r="G160">
            <v>164281.63477749706</v>
          </cell>
        </row>
        <row r="164">
          <cell r="G164">
            <v>771323.94065004145</v>
          </cell>
        </row>
        <row r="171">
          <cell r="G171">
            <v>955994.32436814345</v>
          </cell>
        </row>
        <row r="179">
          <cell r="G179">
            <v>838876.51954124798</v>
          </cell>
        </row>
        <row r="187">
          <cell r="G187">
            <v>440476.93555695692</v>
          </cell>
        </row>
        <row r="192">
          <cell r="G192">
            <v>112991.529614959</v>
          </cell>
        </row>
      </sheetData>
      <sheetData sheetId="6" refreshError="1"/>
      <sheetData sheetId="7">
        <row r="9">
          <cell r="A9" t="str">
            <v>Subitem</v>
          </cell>
        </row>
      </sheetData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77"/>
  <sheetViews>
    <sheetView showGridLines="0" tabSelected="1" view="pageBreakPreview" zoomScale="70" zoomScaleNormal="85" zoomScaleSheetLayoutView="7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4" sqref="C4"/>
    </sheetView>
  </sheetViews>
  <sheetFormatPr defaultRowHeight="15" outlineLevelRow="2" x14ac:dyDescent="0.25"/>
  <cols>
    <col min="1" max="1" width="10.28515625" style="5" customWidth="1"/>
    <col min="2" max="2" width="96.42578125" style="11" customWidth="1"/>
    <col min="3" max="3" width="19.85546875" style="21" customWidth="1"/>
    <col min="4" max="4" width="19.85546875" style="20" customWidth="1"/>
    <col min="5" max="6" width="19.85546875" style="21" customWidth="1"/>
    <col min="7" max="7" width="19.85546875" style="11" customWidth="1"/>
    <col min="8" max="8" width="21.7109375" style="21" customWidth="1"/>
    <col min="9" max="9" width="17.7109375" style="21" hidden="1" customWidth="1"/>
    <col min="10" max="16384" width="9.140625" style="1"/>
  </cols>
  <sheetData>
    <row r="1" spans="1:9" ht="51" customHeight="1" x14ac:dyDescent="0.25">
      <c r="A1" s="84" t="s">
        <v>177</v>
      </c>
      <c r="C1" s="79">
        <f>[1]Resumo!$E$10</f>
        <v>25925981.131428804</v>
      </c>
      <c r="D1" s="85" t="s">
        <v>176</v>
      </c>
      <c r="E1" s="85"/>
      <c r="F1" s="85"/>
    </row>
    <row r="2" spans="1:9" ht="9" customHeight="1" x14ac:dyDescent="0.25">
      <c r="C2" s="78">
        <f>C1-(C9+C32+C72+C134+C141+C148+C159+C163+C172)</f>
        <v>3457695.1081043705</v>
      </c>
      <c r="D2" s="90"/>
      <c r="E2" s="90"/>
    </row>
    <row r="3" spans="1:9" ht="9" customHeight="1" x14ac:dyDescent="0.25">
      <c r="B3" s="84"/>
      <c r="D3" s="90"/>
      <c r="E3" s="90"/>
      <c r="G3" s="57"/>
    </row>
    <row r="4" spans="1:9" ht="9" customHeight="1" x14ac:dyDescent="0.25">
      <c r="A4" s="84"/>
      <c r="B4" s="84"/>
      <c r="G4" s="57"/>
    </row>
    <row r="5" spans="1:9" x14ac:dyDescent="0.25">
      <c r="C5" s="91" t="s">
        <v>171</v>
      </c>
      <c r="D5" s="86" t="s">
        <v>172</v>
      </c>
      <c r="E5" s="87"/>
      <c r="F5" s="87"/>
      <c r="G5" s="87"/>
      <c r="H5" s="88"/>
    </row>
    <row r="6" spans="1:9" ht="63.75" customHeight="1" x14ac:dyDescent="0.25">
      <c r="C6" s="92"/>
      <c r="D6" s="80" t="s">
        <v>167</v>
      </c>
      <c r="E6" s="81" t="s">
        <v>168</v>
      </c>
      <c r="F6" s="81" t="s">
        <v>169</v>
      </c>
      <c r="G6" s="80" t="s">
        <v>175</v>
      </c>
      <c r="H6" s="82" t="s">
        <v>174</v>
      </c>
      <c r="I6" s="20"/>
    </row>
    <row r="7" spans="1:9" s="2" customFormat="1" ht="18" customHeight="1" x14ac:dyDescent="0.25">
      <c r="A7" s="89" t="s">
        <v>173</v>
      </c>
      <c r="B7" s="89"/>
      <c r="C7" s="83">
        <f>C9+C32+C72+C82+C93+C102+C111+C134+C141+C148+C159+C163+C172</f>
        <v>25925981.131428808</v>
      </c>
      <c r="D7" s="83">
        <f>D9+D32+D72+D82+D93+D102+D111+D134+D141+D148+D159+D163+D172</f>
        <v>24303615.799999997</v>
      </c>
      <c r="E7" s="83">
        <f>E9+E32+E72+E82+E93+E102+E111+E134+E141+E148+E159+E163+E172</f>
        <v>28385247.000000004</v>
      </c>
      <c r="F7" s="83">
        <f>F9+F32+F72+F82+F93+F102+F111+F134+F141+F148+F159+F163+F172</f>
        <v>28669738.107716314</v>
      </c>
      <c r="G7" s="83">
        <f>G9+G32+G72+G82+G93+G102+G111+G134+G141+G148+G159+G163+G172</f>
        <v>12709171.987326354</v>
      </c>
      <c r="H7" s="83">
        <f>AVERAGE(D7:F7)</f>
        <v>27119533.635905433</v>
      </c>
      <c r="I7" s="58"/>
    </row>
    <row r="8" spans="1:9" ht="60.75" customHeight="1" x14ac:dyDescent="0.25">
      <c r="A8" s="6" t="s">
        <v>4</v>
      </c>
      <c r="B8" s="12" t="s">
        <v>22</v>
      </c>
      <c r="C8" s="46" t="s">
        <v>157</v>
      </c>
      <c r="D8" s="22" t="s">
        <v>157</v>
      </c>
      <c r="E8" s="22" t="s">
        <v>157</v>
      </c>
      <c r="F8" s="46" t="s">
        <v>157</v>
      </c>
      <c r="G8" s="22" t="s">
        <v>157</v>
      </c>
      <c r="H8" s="46" t="s">
        <v>157</v>
      </c>
      <c r="I8" s="59" t="s">
        <v>170</v>
      </c>
    </row>
    <row r="9" spans="1:9" s="2" customFormat="1" x14ac:dyDescent="0.25">
      <c r="A9" s="7">
        <v>1</v>
      </c>
      <c r="B9" s="13" t="s">
        <v>6</v>
      </c>
      <c r="C9" s="60">
        <f>'[1]Parte A'!$F$5+'[1]Parte B'!$G$5</f>
        <v>3331150.6545402175</v>
      </c>
      <c r="D9" s="23">
        <f>SUM(D10,D18,D22,D26)</f>
        <v>3431209.6</v>
      </c>
      <c r="E9" s="25">
        <v>6812459.2800000003</v>
      </c>
      <c r="F9" s="47">
        <v>7147612.9253429733</v>
      </c>
      <c r="G9" s="24">
        <f>SUM(G10,G18,G22,G26)</f>
        <v>2001551.6029414623</v>
      </c>
      <c r="H9" s="63">
        <f>AVERAGE(D9:F9)</f>
        <v>5797093.9351143241</v>
      </c>
      <c r="I9" s="71">
        <f>I10+I18+I22+I26</f>
        <v>1</v>
      </c>
    </row>
    <row r="10" spans="1:9" s="2" customFormat="1" x14ac:dyDescent="0.25">
      <c r="A10" s="8" t="s">
        <v>115</v>
      </c>
      <c r="B10" s="14" t="s">
        <v>7</v>
      </c>
      <c r="C10" s="26">
        <f t="shared" ref="C10:C31" si="0">$C$9*I10</f>
        <v>116590.27290890762</v>
      </c>
      <c r="D10" s="26">
        <f>SUM(D11:D17)</f>
        <v>131969.60000000001</v>
      </c>
      <c r="E10" s="28">
        <v>851557.40999999992</v>
      </c>
      <c r="F10" s="48"/>
      <c r="G10" s="27">
        <v>200155.16029414625</v>
      </c>
      <c r="H10" s="48"/>
      <c r="I10" s="72">
        <f>SUM(I11:I17)</f>
        <v>3.5000000000000003E-2</v>
      </c>
    </row>
    <row r="11" spans="1:9" ht="30" hidden="1" outlineLevel="1" x14ac:dyDescent="0.25">
      <c r="A11" s="9"/>
      <c r="B11" s="15" t="s">
        <v>63</v>
      </c>
      <c r="C11" s="29">
        <f t="shared" si="0"/>
        <v>16655.753272701088</v>
      </c>
      <c r="D11" s="29">
        <v>18852.8</v>
      </c>
      <c r="E11" s="31"/>
      <c r="F11" s="49"/>
      <c r="G11" s="30"/>
      <c r="H11" s="49"/>
      <c r="I11" s="73">
        <v>5.0000000000000001E-3</v>
      </c>
    </row>
    <row r="12" spans="1:9" hidden="1" outlineLevel="1" x14ac:dyDescent="0.25">
      <c r="A12" s="9"/>
      <c r="B12" s="16" t="s">
        <v>83</v>
      </c>
      <c r="C12" s="29">
        <f t="shared" si="0"/>
        <v>16655.753272701088</v>
      </c>
      <c r="D12" s="29">
        <v>18852.8</v>
      </c>
      <c r="E12" s="33"/>
      <c r="F12" s="50"/>
      <c r="G12" s="32"/>
      <c r="H12" s="50"/>
      <c r="I12" s="73">
        <v>5.0000000000000001E-3</v>
      </c>
    </row>
    <row r="13" spans="1:9" hidden="1" outlineLevel="1" x14ac:dyDescent="0.25">
      <c r="A13" s="9"/>
      <c r="B13" s="16" t="s">
        <v>84</v>
      </c>
      <c r="C13" s="29">
        <f t="shared" si="0"/>
        <v>16655.753272701088</v>
      </c>
      <c r="D13" s="29">
        <v>18852.8</v>
      </c>
      <c r="E13" s="33"/>
      <c r="F13" s="50"/>
      <c r="G13" s="32"/>
      <c r="H13" s="50"/>
      <c r="I13" s="73">
        <v>5.0000000000000001E-3</v>
      </c>
    </row>
    <row r="14" spans="1:9" hidden="1" outlineLevel="1" x14ac:dyDescent="0.25">
      <c r="A14" s="9"/>
      <c r="B14" s="16" t="s">
        <v>85</v>
      </c>
      <c r="C14" s="29">
        <f t="shared" si="0"/>
        <v>16655.753272701088</v>
      </c>
      <c r="D14" s="29">
        <v>18852.8</v>
      </c>
      <c r="E14" s="33"/>
      <c r="F14" s="50"/>
      <c r="G14" s="32"/>
      <c r="H14" s="50"/>
      <c r="I14" s="73">
        <v>5.0000000000000001E-3</v>
      </c>
    </row>
    <row r="15" spans="1:9" s="2" customFormat="1" hidden="1" outlineLevel="1" x14ac:dyDescent="0.25">
      <c r="A15" s="9"/>
      <c r="B15" s="16" t="s">
        <v>86</v>
      </c>
      <c r="C15" s="29">
        <f t="shared" si="0"/>
        <v>16655.753272701088</v>
      </c>
      <c r="D15" s="29">
        <v>18852.8</v>
      </c>
      <c r="E15" s="33"/>
      <c r="F15" s="50"/>
      <c r="G15" s="32"/>
      <c r="H15" s="50"/>
      <c r="I15" s="73">
        <v>5.0000000000000001E-3</v>
      </c>
    </row>
    <row r="16" spans="1:9" hidden="1" outlineLevel="1" x14ac:dyDescent="0.25">
      <c r="A16" s="9"/>
      <c r="B16" s="16" t="s">
        <v>87</v>
      </c>
      <c r="C16" s="29">
        <f t="shared" si="0"/>
        <v>16655.753272701088</v>
      </c>
      <c r="D16" s="29">
        <v>18852.8</v>
      </c>
      <c r="E16" s="33"/>
      <c r="F16" s="50"/>
      <c r="G16" s="32"/>
      <c r="H16" s="50"/>
      <c r="I16" s="73">
        <v>5.0000000000000001E-3</v>
      </c>
    </row>
    <row r="17" spans="1:9" hidden="1" outlineLevel="1" x14ac:dyDescent="0.25">
      <c r="A17" s="9"/>
      <c r="B17" s="16" t="s">
        <v>88</v>
      </c>
      <c r="C17" s="29">
        <f t="shared" si="0"/>
        <v>16655.753272701088</v>
      </c>
      <c r="D17" s="29">
        <v>18852.8</v>
      </c>
      <c r="E17" s="33"/>
      <c r="F17" s="50"/>
      <c r="G17" s="32"/>
      <c r="H17" s="50"/>
      <c r="I17" s="73">
        <v>5.0000000000000001E-3</v>
      </c>
    </row>
    <row r="18" spans="1:9" collapsed="1" x14ac:dyDescent="0.25">
      <c r="A18" s="8" t="s">
        <v>116</v>
      </c>
      <c r="B18" s="14" t="s">
        <v>64</v>
      </c>
      <c r="C18" s="34">
        <f t="shared" si="0"/>
        <v>1565640.8076339024</v>
      </c>
      <c r="D18" s="34">
        <f>SUM(D19:D21)</f>
        <v>2450864</v>
      </c>
      <c r="E18" s="28">
        <v>1986967.2900000003</v>
      </c>
      <c r="F18" s="48"/>
      <c r="G18" s="27">
        <v>600465.48088243871</v>
      </c>
      <c r="H18" s="48"/>
      <c r="I18" s="72">
        <f>SUM(I19:I21)</f>
        <v>0.47000000000000003</v>
      </c>
    </row>
    <row r="19" spans="1:9" ht="60" hidden="1" outlineLevel="1" x14ac:dyDescent="0.25">
      <c r="A19" s="9"/>
      <c r="B19" s="17" t="s">
        <v>65</v>
      </c>
      <c r="C19" s="29">
        <f t="shared" si="0"/>
        <v>1032656.7029074674</v>
      </c>
      <c r="D19" s="29">
        <v>2238770</v>
      </c>
      <c r="E19" s="36"/>
      <c r="F19" s="51"/>
      <c r="G19" s="35"/>
      <c r="H19" s="51"/>
      <c r="I19" s="74">
        <v>0.31</v>
      </c>
    </row>
    <row r="20" spans="1:9" ht="75" hidden="1" outlineLevel="1" x14ac:dyDescent="0.25">
      <c r="A20" s="9"/>
      <c r="B20" s="17" t="s">
        <v>66</v>
      </c>
      <c r="C20" s="29">
        <f t="shared" si="0"/>
        <v>266492.0523632174</v>
      </c>
      <c r="D20" s="29">
        <v>106047</v>
      </c>
      <c r="E20" s="36"/>
      <c r="F20" s="51"/>
      <c r="G20" s="35"/>
      <c r="H20" s="51"/>
      <c r="I20" s="74">
        <v>0.08</v>
      </c>
    </row>
    <row r="21" spans="1:9" ht="60" hidden="1" outlineLevel="1" x14ac:dyDescent="0.25">
      <c r="A21" s="9"/>
      <c r="B21" s="17" t="s">
        <v>67</v>
      </c>
      <c r="C21" s="29">
        <f t="shared" si="0"/>
        <v>266492.0523632174</v>
      </c>
      <c r="D21" s="29">
        <v>106047</v>
      </c>
      <c r="E21" s="36"/>
      <c r="F21" s="51"/>
      <c r="G21" s="35"/>
      <c r="H21" s="51"/>
      <c r="I21" s="74">
        <v>0.08</v>
      </c>
    </row>
    <row r="22" spans="1:9" collapsed="1" x14ac:dyDescent="0.25">
      <c r="A22" s="8" t="s">
        <v>117</v>
      </c>
      <c r="B22" s="14" t="s">
        <v>68</v>
      </c>
      <c r="C22" s="34">
        <f t="shared" si="0"/>
        <v>786151.55447149137</v>
      </c>
      <c r="D22" s="34">
        <f>SUM(D23:D25)</f>
        <v>318141</v>
      </c>
      <c r="E22" s="28">
        <v>1986967.2900000003</v>
      </c>
      <c r="F22" s="48"/>
      <c r="G22" s="27">
        <v>600465.48088243871</v>
      </c>
      <c r="H22" s="48"/>
      <c r="I22" s="72">
        <f>I23+I24+I25</f>
        <v>0.23600000000000002</v>
      </c>
    </row>
    <row r="23" spans="1:9" ht="30" hidden="1" outlineLevel="1" x14ac:dyDescent="0.25">
      <c r="A23" s="9"/>
      <c r="B23" s="18" t="s">
        <v>69</v>
      </c>
      <c r="C23" s="29">
        <f t="shared" si="0"/>
        <v>333115.06545402179</v>
      </c>
      <c r="D23" s="29">
        <v>106047</v>
      </c>
      <c r="E23" s="37"/>
      <c r="F23" s="52"/>
      <c r="G23" s="30"/>
      <c r="H23" s="52"/>
      <c r="I23" s="74">
        <v>0.1</v>
      </c>
    </row>
    <row r="24" spans="1:9" ht="60" hidden="1" outlineLevel="1" x14ac:dyDescent="0.25">
      <c r="A24" s="9"/>
      <c r="B24" s="18" t="s">
        <v>70</v>
      </c>
      <c r="C24" s="29">
        <f t="shared" si="0"/>
        <v>233180.54581781523</v>
      </c>
      <c r="D24" s="29">
        <v>106047</v>
      </c>
      <c r="E24" s="37"/>
      <c r="F24" s="52"/>
      <c r="G24" s="30"/>
      <c r="H24" s="52"/>
      <c r="I24" s="74">
        <v>7.0000000000000007E-2</v>
      </c>
    </row>
    <row r="25" spans="1:9" ht="30" hidden="1" outlineLevel="1" x14ac:dyDescent="0.25">
      <c r="A25" s="9"/>
      <c r="B25" s="18" t="s">
        <v>71</v>
      </c>
      <c r="C25" s="29">
        <f t="shared" si="0"/>
        <v>219855.94319965437</v>
      </c>
      <c r="D25" s="29">
        <v>106047</v>
      </c>
      <c r="E25" s="37"/>
      <c r="F25" s="52"/>
      <c r="G25" s="30"/>
      <c r="H25" s="52"/>
      <c r="I25" s="74">
        <v>6.6000000000000003E-2</v>
      </c>
    </row>
    <row r="26" spans="1:9" collapsed="1" x14ac:dyDescent="0.25">
      <c r="A26" s="8" t="s">
        <v>118</v>
      </c>
      <c r="B26" s="14" t="s">
        <v>72</v>
      </c>
      <c r="C26" s="34">
        <f t="shared" si="0"/>
        <v>862768.01952591632</v>
      </c>
      <c r="D26" s="34">
        <f>SUM(D27:D31)</f>
        <v>530235</v>
      </c>
      <c r="E26" s="28">
        <v>1986967.2900000003</v>
      </c>
      <c r="F26" s="48"/>
      <c r="G26" s="27">
        <v>600465.48088243871</v>
      </c>
      <c r="H26" s="48"/>
      <c r="I26" s="72">
        <f>I27+I28+I29+I30+I31</f>
        <v>0.25900000000000001</v>
      </c>
    </row>
    <row r="27" spans="1:9" ht="60" hidden="1" outlineLevel="1" x14ac:dyDescent="0.25">
      <c r="A27" s="9"/>
      <c r="B27" s="18" t="s">
        <v>73</v>
      </c>
      <c r="C27" s="29">
        <f t="shared" si="0"/>
        <v>249836.29909051629</v>
      </c>
      <c r="D27" s="29">
        <v>106047</v>
      </c>
      <c r="E27" s="37"/>
      <c r="F27" s="52"/>
      <c r="G27" s="30"/>
      <c r="H27" s="52"/>
      <c r="I27" s="73">
        <v>7.4999999999999997E-2</v>
      </c>
    </row>
    <row r="28" spans="1:9" ht="60" hidden="1" outlineLevel="1" x14ac:dyDescent="0.25">
      <c r="A28" s="9"/>
      <c r="B28" s="18" t="s">
        <v>74</v>
      </c>
      <c r="C28" s="29">
        <f t="shared" si="0"/>
        <v>249836.29909051629</v>
      </c>
      <c r="D28" s="29">
        <v>106047</v>
      </c>
      <c r="E28" s="37"/>
      <c r="F28" s="52"/>
      <c r="G28" s="30"/>
      <c r="H28" s="52"/>
      <c r="I28" s="73">
        <v>7.4999999999999997E-2</v>
      </c>
    </row>
    <row r="29" spans="1:9" ht="30" hidden="1" outlineLevel="1" x14ac:dyDescent="0.25">
      <c r="A29" s="9"/>
      <c r="B29" s="18" t="s">
        <v>75</v>
      </c>
      <c r="C29" s="29">
        <f t="shared" si="0"/>
        <v>166557.5327270109</v>
      </c>
      <c r="D29" s="29">
        <v>106047</v>
      </c>
      <c r="E29" s="37"/>
      <c r="F29" s="52"/>
      <c r="G29" s="30"/>
      <c r="H29" s="52"/>
      <c r="I29" s="73">
        <v>0.05</v>
      </c>
    </row>
    <row r="30" spans="1:9" ht="30" hidden="1" outlineLevel="1" x14ac:dyDescent="0.25">
      <c r="A30" s="9"/>
      <c r="B30" s="18" t="s">
        <v>76</v>
      </c>
      <c r="C30" s="29">
        <f t="shared" si="0"/>
        <v>99934.519636206518</v>
      </c>
      <c r="D30" s="29">
        <v>106047</v>
      </c>
      <c r="E30" s="37"/>
      <c r="F30" s="52"/>
      <c r="G30" s="30"/>
      <c r="H30" s="52"/>
      <c r="I30" s="73">
        <v>0.03</v>
      </c>
    </row>
    <row r="31" spans="1:9" ht="30" hidden="1" outlineLevel="1" x14ac:dyDescent="0.25">
      <c r="A31" s="9"/>
      <c r="B31" s="18" t="s">
        <v>77</v>
      </c>
      <c r="C31" s="29">
        <f t="shared" si="0"/>
        <v>96603.36898166631</v>
      </c>
      <c r="D31" s="29">
        <v>106047</v>
      </c>
      <c r="E31" s="37"/>
      <c r="F31" s="52"/>
      <c r="G31" s="30"/>
      <c r="H31" s="52"/>
      <c r="I31" s="73">
        <v>2.9000000000000001E-2</v>
      </c>
    </row>
    <row r="32" spans="1:9" s="2" customFormat="1" collapsed="1" x14ac:dyDescent="0.25">
      <c r="A32" s="7">
        <v>2</v>
      </c>
      <c r="B32" s="13" t="s">
        <v>1</v>
      </c>
      <c r="C32" s="69">
        <f>C33+C42+C44+C52+C54+C59+C62+C65+C67+C69</f>
        <v>12968641.883422444</v>
      </c>
      <c r="D32" s="23">
        <f>SUM(D33,D42,D44,D52,D54,D59,D62,D65,D67,D69)</f>
        <v>10220574.199999999</v>
      </c>
      <c r="E32" s="25">
        <v>5960901.8700000001</v>
      </c>
      <c r="F32" s="47">
        <v>11981055.433580218</v>
      </c>
      <c r="G32" s="24">
        <f>SUM(G33,G42,G44,G52,G54,G59,G62,G65,G67,G69)</f>
        <v>2677773.5083149429</v>
      </c>
      <c r="H32" s="63">
        <f>AVERAGE(D32:F32)</f>
        <v>9387510.5011934061</v>
      </c>
      <c r="I32" s="71">
        <f>SUM(I33:I69)</f>
        <v>0.99999999999999989</v>
      </c>
    </row>
    <row r="33" spans="1:9" x14ac:dyDescent="0.25">
      <c r="A33" s="8" t="s">
        <v>119</v>
      </c>
      <c r="B33" s="14" t="s">
        <v>7</v>
      </c>
      <c r="C33" s="28">
        <f>('[1]Parte B'!$G$192*0.015)+(('[1]Parte A'!$F$10-C52)*0.015)+('[1]Parte A'!$F$22*0.015)+(SUM('[1]Parte A'!$F$36:$F$38)*0.015)+('[1]Parte A'!$F$39*0.015)+('[1]Parte B'!$G$126*0.015)+('[1]Parte B'!$G$110*0.015)</f>
        <v>189420.34389329114</v>
      </c>
      <c r="D33" s="34">
        <f>SUM(D34:D41)</f>
        <v>150822.39999999999</v>
      </c>
      <c r="E33" s="28">
        <v>425778.70499999996</v>
      </c>
      <c r="F33" s="48"/>
      <c r="G33" s="27">
        <v>267777.35083149432</v>
      </c>
      <c r="H33" s="48"/>
      <c r="I33" s="72">
        <f>C33/C32</f>
        <v>1.460602780121667E-2</v>
      </c>
    </row>
    <row r="34" spans="1:9" ht="15" hidden="1" customHeight="1" outlineLevel="1" x14ac:dyDescent="0.25">
      <c r="A34" s="9"/>
      <c r="B34" s="16" t="s">
        <v>104</v>
      </c>
      <c r="C34" s="62"/>
      <c r="D34" s="38">
        <v>18852.8</v>
      </c>
      <c r="E34" s="33"/>
      <c r="F34" s="50"/>
      <c r="G34" s="32"/>
      <c r="H34" s="62"/>
      <c r="I34" s="62"/>
    </row>
    <row r="35" spans="1:9" ht="15" hidden="1" customHeight="1" outlineLevel="1" x14ac:dyDescent="0.25">
      <c r="A35" s="9"/>
      <c r="B35" s="16" t="s">
        <v>0</v>
      </c>
      <c r="C35" s="62"/>
      <c r="D35" s="38">
        <v>18852.8</v>
      </c>
      <c r="E35" s="33"/>
      <c r="F35" s="50"/>
      <c r="G35" s="32"/>
      <c r="H35" s="62"/>
      <c r="I35" s="62"/>
    </row>
    <row r="36" spans="1:9" ht="15" hidden="1" customHeight="1" outlineLevel="1" x14ac:dyDescent="0.25">
      <c r="A36" s="9"/>
      <c r="B36" s="16" t="s">
        <v>105</v>
      </c>
      <c r="C36" s="64"/>
      <c r="D36" s="32">
        <v>18852.8</v>
      </c>
      <c r="E36" s="39"/>
      <c r="F36" s="53"/>
      <c r="G36" s="32"/>
      <c r="H36" s="64"/>
      <c r="I36" s="64"/>
    </row>
    <row r="37" spans="1:9" ht="15" hidden="1" customHeight="1" outlineLevel="1" x14ac:dyDescent="0.25">
      <c r="A37" s="9"/>
      <c r="B37" s="16" t="s">
        <v>89</v>
      </c>
      <c r="C37" s="62"/>
      <c r="D37" s="38">
        <v>18852.8</v>
      </c>
      <c r="E37" s="33"/>
      <c r="F37" s="50"/>
      <c r="G37" s="32"/>
      <c r="H37" s="62"/>
      <c r="I37" s="62"/>
    </row>
    <row r="38" spans="1:9" ht="15" hidden="1" customHeight="1" outlineLevel="1" x14ac:dyDescent="0.25">
      <c r="A38" s="9"/>
      <c r="B38" s="16" t="s">
        <v>5</v>
      </c>
      <c r="C38" s="62"/>
      <c r="D38" s="38">
        <v>18852.8</v>
      </c>
      <c r="E38" s="33"/>
      <c r="F38" s="50"/>
      <c r="G38" s="32"/>
      <c r="H38" s="62"/>
      <c r="I38" s="62"/>
    </row>
    <row r="39" spans="1:9" ht="15" hidden="1" customHeight="1" outlineLevel="1" x14ac:dyDescent="0.25">
      <c r="A39" s="9"/>
      <c r="B39" s="16" t="s">
        <v>106</v>
      </c>
      <c r="C39" s="64"/>
      <c r="D39" s="32">
        <v>18852.8</v>
      </c>
      <c r="E39" s="39"/>
      <c r="F39" s="53"/>
      <c r="G39" s="32"/>
      <c r="H39" s="64"/>
      <c r="I39" s="64"/>
    </row>
    <row r="40" spans="1:9" ht="15" hidden="1" customHeight="1" outlineLevel="1" x14ac:dyDescent="0.25">
      <c r="A40" s="9"/>
      <c r="B40" s="16" t="s">
        <v>109</v>
      </c>
      <c r="C40" s="65"/>
      <c r="D40" s="32">
        <v>18852.8</v>
      </c>
      <c r="E40" s="40"/>
      <c r="F40" s="54"/>
      <c r="G40" s="32"/>
      <c r="H40" s="65"/>
      <c r="I40" s="65"/>
    </row>
    <row r="41" spans="1:9" ht="15" hidden="1" customHeight="1" outlineLevel="1" x14ac:dyDescent="0.25">
      <c r="A41" s="9"/>
      <c r="B41" s="16" t="s">
        <v>113</v>
      </c>
      <c r="C41" s="65"/>
      <c r="D41" s="32">
        <v>18852.8</v>
      </c>
      <c r="E41" s="40"/>
      <c r="F41" s="54"/>
      <c r="G41" s="32"/>
      <c r="H41" s="65"/>
      <c r="I41" s="65"/>
    </row>
    <row r="42" spans="1:9" collapsed="1" x14ac:dyDescent="0.25">
      <c r="A42" s="8" t="s">
        <v>120</v>
      </c>
      <c r="B42" s="14" t="s">
        <v>104</v>
      </c>
      <c r="C42" s="28">
        <f>'[1]Parte B'!$G$192*0.985</f>
        <v>111296.65667073461</v>
      </c>
      <c r="D42" s="27">
        <f>SUM(D43)</f>
        <v>23566</v>
      </c>
      <c r="E42" s="28">
        <v>141926.23500000002</v>
      </c>
      <c r="F42" s="48"/>
      <c r="G42" s="27">
        <v>53555.470166298859</v>
      </c>
      <c r="H42" s="48"/>
      <c r="I42" s="72">
        <f>C42/C32</f>
        <v>8.5819824212281549E-3</v>
      </c>
    </row>
    <row r="43" spans="1:9" ht="23.25" hidden="1" customHeight="1" outlineLevel="2" x14ac:dyDescent="0.25">
      <c r="A43" s="9"/>
      <c r="B43" s="16" t="s">
        <v>19</v>
      </c>
      <c r="C43" s="62"/>
      <c r="D43" s="32">
        <v>23566</v>
      </c>
      <c r="E43" s="33"/>
      <c r="F43" s="50"/>
      <c r="G43" s="32"/>
      <c r="H43" s="62"/>
      <c r="I43" s="62"/>
    </row>
    <row r="44" spans="1:9" s="2" customFormat="1" collapsed="1" x14ac:dyDescent="0.25">
      <c r="A44" s="8" t="s">
        <v>121</v>
      </c>
      <c r="B44" s="14" t="s">
        <v>0</v>
      </c>
      <c r="C44" s="28">
        <f>('[1]Parte A'!$F$10-C52)*0.985</f>
        <v>8693092.0412746221</v>
      </c>
      <c r="D44" s="27">
        <f>SUM(D45:D51)</f>
        <v>2710090</v>
      </c>
      <c r="E44" s="28">
        <v>993483.64500000014</v>
      </c>
      <c r="F44" s="48"/>
      <c r="G44" s="27">
        <v>535554.70166298863</v>
      </c>
      <c r="H44" s="48"/>
      <c r="I44" s="72">
        <f>C44/C32</f>
        <v>0.67031629984222385</v>
      </c>
    </row>
    <row r="45" spans="1:9" ht="25.5" hidden="1" customHeight="1" outlineLevel="1" x14ac:dyDescent="0.25">
      <c r="A45" s="9"/>
      <c r="B45" s="16" t="s">
        <v>50</v>
      </c>
      <c r="C45" s="62"/>
      <c r="D45" s="32">
        <v>1413960</v>
      </c>
      <c r="E45" s="33"/>
      <c r="F45" s="50"/>
      <c r="G45" s="32"/>
      <c r="H45" s="62"/>
      <c r="I45" s="62"/>
    </row>
    <row r="46" spans="1:9" ht="30" hidden="1" outlineLevel="1" x14ac:dyDescent="0.25">
      <c r="A46" s="9"/>
      <c r="B46" s="15" t="s">
        <v>41</v>
      </c>
      <c r="C46" s="61"/>
      <c r="D46" s="30">
        <v>94264</v>
      </c>
      <c r="E46" s="31"/>
      <c r="F46" s="49"/>
      <c r="G46" s="30"/>
      <c r="H46" s="61"/>
      <c r="I46" s="61"/>
    </row>
    <row r="47" spans="1:9" ht="30" hidden="1" outlineLevel="1" x14ac:dyDescent="0.25">
      <c r="A47" s="9"/>
      <c r="B47" s="15" t="s">
        <v>49</v>
      </c>
      <c r="C47" s="61"/>
      <c r="D47" s="30">
        <v>94264</v>
      </c>
      <c r="E47" s="31"/>
      <c r="F47" s="49"/>
      <c r="G47" s="30"/>
      <c r="H47" s="61"/>
      <c r="I47" s="61"/>
    </row>
    <row r="48" spans="1:9" s="2" customFormat="1" ht="15" hidden="1" customHeight="1" outlineLevel="1" x14ac:dyDescent="0.25">
      <c r="A48" s="10"/>
      <c r="B48" s="19" t="s">
        <v>2</v>
      </c>
      <c r="C48" s="66"/>
      <c r="D48" s="41"/>
      <c r="E48" s="42"/>
      <c r="F48" s="55"/>
      <c r="G48" s="41"/>
      <c r="H48" s="66"/>
      <c r="I48" s="66"/>
    </row>
    <row r="49" spans="1:9" ht="22.5" hidden="1" customHeight="1" outlineLevel="1" x14ac:dyDescent="0.25">
      <c r="A49" s="9"/>
      <c r="B49" s="16" t="s">
        <v>3</v>
      </c>
      <c r="C49" s="62"/>
      <c r="D49" s="32">
        <v>942640</v>
      </c>
      <c r="E49" s="33"/>
      <c r="F49" s="50"/>
      <c r="G49" s="32"/>
      <c r="H49" s="62"/>
      <c r="I49" s="62"/>
    </row>
    <row r="50" spans="1:9" ht="22.5" hidden="1" customHeight="1" outlineLevel="1" x14ac:dyDescent="0.25">
      <c r="A50" s="9"/>
      <c r="B50" s="16" t="s">
        <v>42</v>
      </c>
      <c r="C50" s="62"/>
      <c r="D50" s="32">
        <v>94264</v>
      </c>
      <c r="E50" s="33"/>
      <c r="F50" s="50"/>
      <c r="G50" s="32"/>
      <c r="H50" s="62"/>
      <c r="I50" s="62"/>
    </row>
    <row r="51" spans="1:9" ht="22.5" hidden="1" customHeight="1" outlineLevel="1" x14ac:dyDescent="0.25">
      <c r="A51" s="9"/>
      <c r="B51" s="16" t="s">
        <v>45</v>
      </c>
      <c r="C51" s="62"/>
      <c r="D51" s="32">
        <v>70698</v>
      </c>
      <c r="E51" s="33"/>
      <c r="F51" s="50"/>
      <c r="G51" s="32"/>
      <c r="H51" s="62"/>
      <c r="I51" s="62"/>
    </row>
    <row r="52" spans="1:9" collapsed="1" x14ac:dyDescent="0.25">
      <c r="A52" s="8" t="s">
        <v>122</v>
      </c>
      <c r="B52" s="14" t="s">
        <v>107</v>
      </c>
      <c r="C52" s="68">
        <f>'[1]Parte A'!$F$14*0.1</f>
        <v>135481.90890000001</v>
      </c>
      <c r="D52" s="27">
        <f>SUM(D53)</f>
        <v>58915</v>
      </c>
      <c r="E52" s="28">
        <v>141926.23500000002</v>
      </c>
      <c r="F52" s="56"/>
      <c r="G52" s="27">
        <v>80333.205249448292</v>
      </c>
      <c r="H52" s="76"/>
      <c r="I52" s="72">
        <f>C52/C32</f>
        <v>1.0446884887243577E-2</v>
      </c>
    </row>
    <row r="53" spans="1:9" ht="24.75" hidden="1" customHeight="1" outlineLevel="1" x14ac:dyDescent="0.25">
      <c r="A53" s="9"/>
      <c r="B53" s="16" t="s">
        <v>108</v>
      </c>
      <c r="C53" s="65"/>
      <c r="D53" s="32">
        <v>58915</v>
      </c>
      <c r="E53" s="40"/>
      <c r="F53" s="54"/>
      <c r="G53" s="32"/>
      <c r="H53" s="65"/>
      <c r="I53" s="65"/>
    </row>
    <row r="54" spans="1:9" collapsed="1" x14ac:dyDescent="0.25">
      <c r="A54" s="8" t="s">
        <v>123</v>
      </c>
      <c r="B54" s="14" t="s">
        <v>21</v>
      </c>
      <c r="C54" s="28">
        <f>'[1]Parte A'!$F$22*0.985</f>
        <v>1823015.0848724446</v>
      </c>
      <c r="D54" s="27">
        <f>SUM(D55:D58)</f>
        <v>4802750.8</v>
      </c>
      <c r="E54" s="28">
        <v>993483.64500000014</v>
      </c>
      <c r="F54" s="48"/>
      <c r="G54" s="27">
        <v>401666.02624724142</v>
      </c>
      <c r="H54" s="48"/>
      <c r="I54" s="72">
        <f>C54/C32</f>
        <v>0.14057100976801346</v>
      </c>
    </row>
    <row r="55" spans="1:9" ht="20.25" hidden="1" customHeight="1" outlineLevel="1" x14ac:dyDescent="0.25">
      <c r="A55" s="9"/>
      <c r="B55" s="16" t="s">
        <v>38</v>
      </c>
      <c r="C55" s="62"/>
      <c r="D55" s="32">
        <v>18852.8</v>
      </c>
      <c r="E55" s="33"/>
      <c r="F55" s="50"/>
      <c r="G55" s="32"/>
      <c r="H55" s="62"/>
      <c r="I55" s="62"/>
    </row>
    <row r="56" spans="1:9" ht="20.25" hidden="1" customHeight="1" outlineLevel="1" x14ac:dyDescent="0.25">
      <c r="A56" s="9"/>
      <c r="B56" s="16" t="s">
        <v>39</v>
      </c>
      <c r="C56" s="62"/>
      <c r="D56" s="32">
        <v>4713200</v>
      </c>
      <c r="E56" s="33"/>
      <c r="F56" s="50"/>
      <c r="G56" s="32"/>
      <c r="H56" s="62"/>
      <c r="I56" s="62"/>
    </row>
    <row r="57" spans="1:9" ht="30" hidden="1" outlineLevel="1" x14ac:dyDescent="0.25">
      <c r="A57" s="9"/>
      <c r="B57" s="15" t="s">
        <v>40</v>
      </c>
      <c r="C57" s="61"/>
      <c r="D57" s="30">
        <v>47132</v>
      </c>
      <c r="E57" s="31"/>
      <c r="F57" s="49"/>
      <c r="G57" s="30"/>
      <c r="H57" s="61"/>
      <c r="I57" s="61"/>
    </row>
    <row r="58" spans="1:9" ht="22.5" hidden="1" customHeight="1" outlineLevel="1" x14ac:dyDescent="0.25">
      <c r="A58" s="9"/>
      <c r="B58" s="16" t="s">
        <v>43</v>
      </c>
      <c r="C58" s="62"/>
      <c r="D58" s="32">
        <v>23566</v>
      </c>
      <c r="E58" s="33"/>
      <c r="F58" s="50"/>
      <c r="G58" s="32"/>
      <c r="H58" s="62"/>
      <c r="I58" s="62"/>
    </row>
    <row r="59" spans="1:9" collapsed="1" x14ac:dyDescent="0.25">
      <c r="A59" s="8" t="s">
        <v>124</v>
      </c>
      <c r="B59" s="14" t="s">
        <v>5</v>
      </c>
      <c r="C59" s="67">
        <f>SUM('[1]Parte A'!$F$36:$F$38)*0.985</f>
        <v>872178.39353</v>
      </c>
      <c r="D59" s="27">
        <f>SUM(D60:D61)</f>
        <v>777678</v>
      </c>
      <c r="E59" s="28">
        <v>1419262.35</v>
      </c>
      <c r="F59" s="48"/>
      <c r="G59" s="27">
        <v>401666.02624724142</v>
      </c>
      <c r="H59" s="77"/>
      <c r="I59" s="72">
        <f>C59/C32</f>
        <v>6.7252870529557016E-2</v>
      </c>
    </row>
    <row r="60" spans="1:9" ht="18" hidden="1" customHeight="1" outlineLevel="1" x14ac:dyDescent="0.25">
      <c r="A60" s="9"/>
      <c r="B60" s="16" t="s">
        <v>44</v>
      </c>
      <c r="C60" s="62"/>
      <c r="D60" s="32">
        <v>706980</v>
      </c>
      <c r="E60" s="33"/>
      <c r="F60" s="50"/>
      <c r="G60" s="32"/>
      <c r="H60" s="62"/>
      <c r="I60" s="62"/>
    </row>
    <row r="61" spans="1:9" ht="30" hidden="1" outlineLevel="1" x14ac:dyDescent="0.25">
      <c r="A61" s="9"/>
      <c r="B61" s="15" t="s">
        <v>30</v>
      </c>
      <c r="C61" s="61"/>
      <c r="D61" s="30">
        <v>70698</v>
      </c>
      <c r="E61" s="31"/>
      <c r="F61" s="49"/>
      <c r="G61" s="30"/>
      <c r="H61" s="61"/>
      <c r="I61" s="61"/>
    </row>
    <row r="62" spans="1:9" collapsed="1" x14ac:dyDescent="0.25">
      <c r="A62" s="8" t="s">
        <v>125</v>
      </c>
      <c r="B62" s="14" t="s">
        <v>36</v>
      </c>
      <c r="C62" s="27">
        <f>'[1]Parte A'!$F$39*0.985</f>
        <v>263760.69056902191</v>
      </c>
      <c r="D62" s="27">
        <f>SUM(D63:D64)</f>
        <v>848376</v>
      </c>
      <c r="E62" s="28">
        <v>283852.47000000003</v>
      </c>
      <c r="F62" s="48"/>
      <c r="G62" s="27">
        <v>267777.35083149432</v>
      </c>
      <c r="H62" s="48"/>
      <c r="I62" s="72">
        <f>C62/C32</f>
        <v>2.033834328528895E-2</v>
      </c>
    </row>
    <row r="63" spans="1:9" ht="30" hidden="1" outlineLevel="1" x14ac:dyDescent="0.25">
      <c r="A63" s="9"/>
      <c r="B63" s="15" t="s">
        <v>46</v>
      </c>
      <c r="C63" s="61"/>
      <c r="D63" s="30">
        <v>706980</v>
      </c>
      <c r="E63" s="31"/>
      <c r="F63" s="49"/>
      <c r="G63" s="30"/>
      <c r="H63" s="61"/>
      <c r="I63" s="61"/>
    </row>
    <row r="64" spans="1:9" hidden="1" outlineLevel="1" x14ac:dyDescent="0.25">
      <c r="A64" s="9"/>
      <c r="B64" s="16" t="s">
        <v>37</v>
      </c>
      <c r="C64" s="62"/>
      <c r="D64" s="30">
        <v>141396</v>
      </c>
      <c r="E64" s="33"/>
      <c r="F64" s="50"/>
      <c r="G64" s="32"/>
      <c r="H64" s="62"/>
      <c r="I64" s="62"/>
    </row>
    <row r="65" spans="1:9" s="2" customFormat="1" collapsed="1" x14ac:dyDescent="0.25">
      <c r="A65" s="8" t="s">
        <v>126</v>
      </c>
      <c r="B65" s="14" t="s">
        <v>109</v>
      </c>
      <c r="C65" s="68">
        <f>'[1]Parte B'!$G$126*0.835</f>
        <v>296082.96370648016</v>
      </c>
      <c r="D65" s="27">
        <f>SUM(D66)</f>
        <v>353490</v>
      </c>
      <c r="E65" s="28">
        <v>709631.17500000005</v>
      </c>
      <c r="F65" s="56"/>
      <c r="G65" s="27">
        <v>267777.35083149432</v>
      </c>
      <c r="H65" s="76"/>
      <c r="I65" s="72">
        <f>C65/$C$32</f>
        <v>2.2830683919567329E-2</v>
      </c>
    </row>
    <row r="66" spans="1:9" hidden="1" outlineLevel="1" x14ac:dyDescent="0.25">
      <c r="A66" s="9"/>
      <c r="B66" s="16" t="s">
        <v>110</v>
      </c>
      <c r="C66" s="65"/>
      <c r="D66" s="30">
        <f>SUM(D68)</f>
        <v>353490</v>
      </c>
      <c r="E66" s="40"/>
      <c r="F66" s="54"/>
      <c r="G66" s="32"/>
      <c r="H66" s="65"/>
      <c r="I66" s="65"/>
    </row>
    <row r="67" spans="1:9" collapsed="1" x14ac:dyDescent="0.25">
      <c r="A67" s="8" t="s">
        <v>127</v>
      </c>
      <c r="B67" s="14" t="s">
        <v>111</v>
      </c>
      <c r="C67" s="68">
        <f>'[1]Parte B'!$G$110*0.835</f>
        <v>276345.32296028209</v>
      </c>
      <c r="D67" s="27">
        <f>SUM(D68)</f>
        <v>353490</v>
      </c>
      <c r="E67" s="28">
        <v>283852.47000000003</v>
      </c>
      <c r="F67" s="56"/>
      <c r="G67" s="27">
        <v>133888.67541574716</v>
      </c>
      <c r="H67" s="76"/>
      <c r="I67" s="72">
        <f>C67/$C$32</f>
        <v>2.1308732667954137E-2</v>
      </c>
    </row>
    <row r="68" spans="1:9" hidden="1" outlineLevel="1" x14ac:dyDescent="0.25">
      <c r="A68" s="9"/>
      <c r="B68" s="16" t="s">
        <v>112</v>
      </c>
      <c r="C68" s="65"/>
      <c r="D68" s="30">
        <v>353490</v>
      </c>
      <c r="E68" s="40"/>
      <c r="F68" s="54"/>
      <c r="G68" s="32"/>
      <c r="H68" s="65"/>
      <c r="I68" s="65"/>
    </row>
    <row r="69" spans="1:9" collapsed="1" x14ac:dyDescent="0.25">
      <c r="A69" s="8" t="s">
        <v>128</v>
      </c>
      <c r="B69" s="14" t="s">
        <v>28</v>
      </c>
      <c r="C69" s="67">
        <f>('[1]Parte B'!$G$37+'[1]Parte B'!$G$85)+('[1]Parte B'!$G$126*0.15)+('[1]Parte B'!$G$110*0.15)</f>
        <v>307968.4770455666</v>
      </c>
      <c r="D69" s="27">
        <f>SUM(D70:D71)</f>
        <v>141396</v>
      </c>
      <c r="E69" s="28">
        <v>567704.94000000006</v>
      </c>
      <c r="F69" s="48"/>
      <c r="G69" s="27">
        <v>267777.35083149432</v>
      </c>
      <c r="H69" s="77"/>
      <c r="I69" s="72">
        <f>C69/$C$32</f>
        <v>2.3747164877706783E-2</v>
      </c>
    </row>
    <row r="70" spans="1:9" ht="45" hidden="1" outlineLevel="1" x14ac:dyDescent="0.25">
      <c r="A70" s="9"/>
      <c r="B70" s="15" t="s">
        <v>47</v>
      </c>
      <c r="C70" s="61"/>
      <c r="D70" s="30">
        <v>117830</v>
      </c>
      <c r="E70" s="31"/>
      <c r="F70" s="49"/>
      <c r="G70" s="30"/>
      <c r="H70" s="61"/>
      <c r="I70" s="61"/>
    </row>
    <row r="71" spans="1:9" hidden="1" outlineLevel="1" x14ac:dyDescent="0.25">
      <c r="A71" s="9"/>
      <c r="B71" s="16" t="s">
        <v>28</v>
      </c>
      <c r="C71" s="62"/>
      <c r="D71" s="30">
        <v>23566</v>
      </c>
      <c r="E71" s="33"/>
      <c r="F71" s="50"/>
      <c r="G71" s="32"/>
      <c r="H71" s="62"/>
      <c r="I71" s="62"/>
    </row>
    <row r="72" spans="1:9" collapsed="1" x14ac:dyDescent="0.25">
      <c r="A72" s="7">
        <v>3</v>
      </c>
      <c r="B72" s="13" t="s">
        <v>8</v>
      </c>
      <c r="C72" s="63">
        <f>C73+C75+C78+C80</f>
        <v>1215712.1711661555</v>
      </c>
      <c r="D72" s="24">
        <f>SUM(D73,D75,D78,D80)</f>
        <v>1166517</v>
      </c>
      <c r="E72" s="25">
        <v>1277336.115</v>
      </c>
      <c r="F72" s="47">
        <v>1726796.0542651308</v>
      </c>
      <c r="G72" s="24">
        <f>SUM(G73,G75,G78,G80)</f>
        <v>777644.99790387135</v>
      </c>
      <c r="H72" s="63">
        <f>AVERAGE(D72:F72)</f>
        <v>1390216.3897550437</v>
      </c>
      <c r="I72" s="71">
        <f>SUM(I73:I81)</f>
        <v>1.0000000000000002</v>
      </c>
    </row>
    <row r="73" spans="1:9" x14ac:dyDescent="0.25">
      <c r="A73" s="8" t="s">
        <v>129</v>
      </c>
      <c r="B73" s="14" t="s">
        <v>7</v>
      </c>
      <c r="C73" s="67">
        <f>'[1]Parte B'!$G$72*0.15</f>
        <v>142126.69774292395</v>
      </c>
      <c r="D73" s="34">
        <f>SUM(D74)</f>
        <v>35349</v>
      </c>
      <c r="E73" s="28">
        <v>141926.23500000002</v>
      </c>
      <c r="F73" s="48"/>
      <c r="G73" s="27">
        <v>77764.499790387141</v>
      </c>
      <c r="H73" s="77"/>
      <c r="I73" s="72">
        <f>C73/$C$72</f>
        <v>0.11690818033563885</v>
      </c>
    </row>
    <row r="74" spans="1:9" hidden="1" outlineLevel="1" x14ac:dyDescent="0.25">
      <c r="A74" s="9"/>
      <c r="B74" s="16" t="s">
        <v>24</v>
      </c>
      <c r="C74" s="62"/>
      <c r="D74" s="29">
        <v>35349</v>
      </c>
      <c r="E74" s="33"/>
      <c r="F74" s="50"/>
      <c r="G74" s="32"/>
      <c r="H74" s="62"/>
      <c r="I74" s="62"/>
    </row>
    <row r="75" spans="1:9" collapsed="1" x14ac:dyDescent="0.25">
      <c r="A75" s="8" t="s">
        <v>130</v>
      </c>
      <c r="B75" s="14" t="s">
        <v>13</v>
      </c>
      <c r="C75" s="67">
        <f>'[1]Parte B'!$G$56</f>
        <v>268200.85287999589</v>
      </c>
      <c r="D75" s="34">
        <f>SUM(D76:D77)</f>
        <v>942640</v>
      </c>
      <c r="E75" s="28">
        <v>425778.70499999996</v>
      </c>
      <c r="F75" s="70">
        <f>'[1]Parte B'!$G$56</f>
        <v>268200.85287999589</v>
      </c>
      <c r="G75" s="27">
        <v>233293.49937116139</v>
      </c>
      <c r="H75" s="67"/>
      <c r="I75" s="72">
        <f>C75/$C$72</f>
        <v>0.22061213109574107</v>
      </c>
    </row>
    <row r="76" spans="1:9" hidden="1" outlineLevel="1" x14ac:dyDescent="0.25">
      <c r="A76" s="9"/>
      <c r="B76" s="16" t="s">
        <v>11</v>
      </c>
      <c r="C76" s="62"/>
      <c r="D76" s="29">
        <v>471320</v>
      </c>
      <c r="E76" s="33"/>
      <c r="F76" s="50"/>
      <c r="G76" s="32"/>
      <c r="H76" s="62"/>
      <c r="I76" s="62"/>
    </row>
    <row r="77" spans="1:9" hidden="1" outlineLevel="1" x14ac:dyDescent="0.25">
      <c r="A77" s="9"/>
      <c r="B77" s="16" t="s">
        <v>12</v>
      </c>
      <c r="C77" s="62"/>
      <c r="D77" s="29">
        <v>471320</v>
      </c>
      <c r="E77" s="33"/>
      <c r="F77" s="50"/>
      <c r="G77" s="32"/>
      <c r="H77" s="62"/>
      <c r="I77" s="62"/>
    </row>
    <row r="78" spans="1:9" collapsed="1" x14ac:dyDescent="0.25">
      <c r="A78" s="8" t="s">
        <v>131</v>
      </c>
      <c r="B78" s="14" t="s">
        <v>14</v>
      </c>
      <c r="C78" s="67">
        <f>'[1]Parte B'!$G$72*0.4</f>
        <v>379004.52731446392</v>
      </c>
      <c r="D78" s="34">
        <f>SUM(D79)</f>
        <v>141396</v>
      </c>
      <c r="E78" s="28">
        <v>425778.70499999996</v>
      </c>
      <c r="F78" s="48"/>
      <c r="G78" s="27">
        <v>233293.49937116139</v>
      </c>
      <c r="H78" s="77"/>
      <c r="I78" s="72">
        <f>C78/$C$72</f>
        <v>0.31175514756170364</v>
      </c>
    </row>
    <row r="79" spans="1:9" hidden="1" outlineLevel="1" x14ac:dyDescent="0.25">
      <c r="A79" s="9"/>
      <c r="B79" s="16" t="s">
        <v>15</v>
      </c>
      <c r="C79" s="62"/>
      <c r="D79" s="29">
        <v>141396</v>
      </c>
      <c r="E79" s="33"/>
      <c r="F79" s="50"/>
      <c r="G79" s="32"/>
      <c r="H79" s="62"/>
      <c r="I79" s="62"/>
    </row>
    <row r="80" spans="1:9" collapsed="1" x14ac:dyDescent="0.25">
      <c r="A80" s="8" t="s">
        <v>132</v>
      </c>
      <c r="B80" s="14" t="s">
        <v>28</v>
      </c>
      <c r="C80" s="67">
        <f>'[1]Parte B'!$G$72*0.45</f>
        <v>426380.09322877193</v>
      </c>
      <c r="D80" s="34">
        <f>SUM(D81)</f>
        <v>47132</v>
      </c>
      <c r="E80" s="28">
        <v>283852.47000000003</v>
      </c>
      <c r="F80" s="48"/>
      <c r="G80" s="27">
        <v>233293.49937116139</v>
      </c>
      <c r="H80" s="77"/>
      <c r="I80" s="72">
        <f>C80/$C$72</f>
        <v>0.35072454100691663</v>
      </c>
    </row>
    <row r="81" spans="1:9" hidden="1" outlineLevel="1" x14ac:dyDescent="0.25">
      <c r="A81" s="9"/>
      <c r="B81" s="16" t="s">
        <v>28</v>
      </c>
      <c r="C81" s="62"/>
      <c r="D81" s="29">
        <v>47132</v>
      </c>
      <c r="E81" s="33"/>
      <c r="F81" s="50"/>
      <c r="G81" s="32"/>
      <c r="H81" s="62"/>
      <c r="I81" s="62"/>
    </row>
    <row r="82" spans="1:9" collapsed="1" x14ac:dyDescent="0.25">
      <c r="A82" s="7">
        <v>4</v>
      </c>
      <c r="B82" s="13" t="s">
        <v>9</v>
      </c>
      <c r="C82" s="63">
        <f>C2*0.1</f>
        <v>345769.51081043709</v>
      </c>
      <c r="D82" s="23">
        <f>SUM(D83,D87,D89,D91)</f>
        <v>146109.20000000001</v>
      </c>
      <c r="E82" s="25">
        <v>851557.40999999992</v>
      </c>
      <c r="F82" s="47">
        <v>419362.43731199997</v>
      </c>
      <c r="G82" s="24">
        <f>SUM(G83,G87,G89,G91)</f>
        <v>102310.48553179353</v>
      </c>
      <c r="H82" s="63">
        <f>AVERAGE(D82:F82)</f>
        <v>472343.01577066659</v>
      </c>
      <c r="I82" s="71">
        <f>SUM(I83:I91)</f>
        <v>1</v>
      </c>
    </row>
    <row r="83" spans="1:9" x14ac:dyDescent="0.25">
      <c r="A83" s="8" t="s">
        <v>133</v>
      </c>
      <c r="B83" s="14" t="s">
        <v>7</v>
      </c>
      <c r="C83" s="67">
        <f>C82*0.03</f>
        <v>10373.085324313111</v>
      </c>
      <c r="D83" s="34">
        <f>SUM(D84:D86)</f>
        <v>28279.199999999997</v>
      </c>
      <c r="E83" s="28">
        <v>141926.23500000002</v>
      </c>
      <c r="F83" s="48"/>
      <c r="G83" s="27">
        <v>10231.048553179353</v>
      </c>
      <c r="H83" s="77"/>
      <c r="I83" s="72">
        <f>C83/$C$82</f>
        <v>2.9999999999999995E-2</v>
      </c>
    </row>
    <row r="84" spans="1:9" hidden="1" outlineLevel="1" x14ac:dyDescent="0.25">
      <c r="A84" s="9"/>
      <c r="B84" s="16" t="s">
        <v>90</v>
      </c>
      <c r="C84" s="62"/>
      <c r="D84" s="29">
        <v>9426.4</v>
      </c>
      <c r="E84" s="33"/>
      <c r="F84" s="50"/>
      <c r="G84" s="32"/>
      <c r="H84" s="62"/>
      <c r="I84" s="62"/>
    </row>
    <row r="85" spans="1:9" hidden="1" outlineLevel="1" x14ac:dyDescent="0.25">
      <c r="A85" s="9"/>
      <c r="B85" s="16" t="s">
        <v>102</v>
      </c>
      <c r="C85" s="62"/>
      <c r="D85" s="29">
        <v>9426.4</v>
      </c>
      <c r="E85" s="33"/>
      <c r="F85" s="50"/>
      <c r="G85" s="32"/>
      <c r="H85" s="62"/>
      <c r="I85" s="62"/>
    </row>
    <row r="86" spans="1:9" hidden="1" outlineLevel="1" x14ac:dyDescent="0.25">
      <c r="A86" s="9"/>
      <c r="B86" s="16" t="s">
        <v>25</v>
      </c>
      <c r="C86" s="62"/>
      <c r="D86" s="29">
        <v>9426.4</v>
      </c>
      <c r="E86" s="33"/>
      <c r="F86" s="50"/>
      <c r="G86" s="32"/>
      <c r="H86" s="62"/>
      <c r="I86" s="62"/>
    </row>
    <row r="87" spans="1:9" collapsed="1" x14ac:dyDescent="0.25">
      <c r="A87" s="8" t="s">
        <v>134</v>
      </c>
      <c r="B87" s="14" t="s">
        <v>114</v>
      </c>
      <c r="C87" s="75">
        <f>C82*0.6</f>
        <v>207461.70648626224</v>
      </c>
      <c r="D87" s="34">
        <f>SUM(D88)</f>
        <v>94264</v>
      </c>
      <c r="E87" s="28">
        <v>425778.70499999996</v>
      </c>
      <c r="F87" s="48"/>
      <c r="G87" s="27">
        <v>30693.145659538059</v>
      </c>
      <c r="H87" s="77"/>
      <c r="I87" s="72">
        <f>C87/$C$82</f>
        <v>0.6</v>
      </c>
    </row>
    <row r="88" spans="1:9" ht="30" hidden="1" outlineLevel="1" x14ac:dyDescent="0.25">
      <c r="A88" s="9"/>
      <c r="B88" s="15" t="s">
        <v>32</v>
      </c>
      <c r="C88" s="61"/>
      <c r="D88" s="29">
        <v>94264</v>
      </c>
      <c r="E88" s="31"/>
      <c r="F88" s="49"/>
      <c r="G88" s="30"/>
      <c r="H88" s="61"/>
      <c r="I88" s="61"/>
    </row>
    <row r="89" spans="1:9" collapsed="1" x14ac:dyDescent="0.25">
      <c r="A89" s="8" t="s">
        <v>135</v>
      </c>
      <c r="B89" s="14" t="s">
        <v>26</v>
      </c>
      <c r="C89" s="75">
        <f>C82*0.3</f>
        <v>103730.85324313112</v>
      </c>
      <c r="D89" s="34">
        <f>SUM(D90)</f>
        <v>11783</v>
      </c>
      <c r="E89" s="28">
        <v>141926.23500000002</v>
      </c>
      <c r="F89" s="48"/>
      <c r="G89" s="27">
        <v>30693.145659538059</v>
      </c>
      <c r="H89" s="77"/>
      <c r="I89" s="72">
        <f>C89/$C$82</f>
        <v>0.3</v>
      </c>
    </row>
    <row r="90" spans="1:9" hidden="1" outlineLevel="1" x14ac:dyDescent="0.25">
      <c r="A90" s="9"/>
      <c r="B90" s="16" t="s">
        <v>26</v>
      </c>
      <c r="C90" s="62"/>
      <c r="D90" s="29">
        <v>11783</v>
      </c>
      <c r="E90" s="33"/>
      <c r="F90" s="50"/>
      <c r="G90" s="32"/>
      <c r="H90" s="62"/>
      <c r="I90" s="62"/>
    </row>
    <row r="91" spans="1:9" collapsed="1" x14ac:dyDescent="0.25">
      <c r="A91" s="8" t="s">
        <v>136</v>
      </c>
      <c r="B91" s="14" t="s">
        <v>28</v>
      </c>
      <c r="C91" s="67">
        <f>C82*0.07</f>
        <v>24203.8657567306</v>
      </c>
      <c r="D91" s="34">
        <f>SUM(D92)</f>
        <v>11783</v>
      </c>
      <c r="E91" s="28">
        <v>141926.23500000002</v>
      </c>
      <c r="F91" s="48"/>
      <c r="G91" s="27">
        <v>30693.145659538059</v>
      </c>
      <c r="H91" s="77"/>
      <c r="I91" s="72">
        <f>C91/$C$82</f>
        <v>7.0000000000000007E-2</v>
      </c>
    </row>
    <row r="92" spans="1:9" hidden="1" outlineLevel="1" x14ac:dyDescent="0.25">
      <c r="A92" s="9"/>
      <c r="B92" s="16" t="s">
        <v>28</v>
      </c>
      <c r="C92" s="62"/>
      <c r="D92" s="29">
        <v>11783</v>
      </c>
      <c r="E92" s="33"/>
      <c r="F92" s="50"/>
      <c r="G92" s="32"/>
      <c r="H92" s="62"/>
      <c r="I92" s="62"/>
    </row>
    <row r="93" spans="1:9" collapsed="1" x14ac:dyDescent="0.25">
      <c r="A93" s="7">
        <v>5</v>
      </c>
      <c r="B93" s="13" t="s">
        <v>16</v>
      </c>
      <c r="C93" s="63">
        <f>C2*0.1</f>
        <v>345769.51081043709</v>
      </c>
      <c r="D93" s="23">
        <f>SUM(D94,D98,D100)</f>
        <v>193241.2</v>
      </c>
      <c r="E93" s="25">
        <v>709631.17499999993</v>
      </c>
      <c r="F93" s="47">
        <v>419362.43731199997</v>
      </c>
      <c r="G93" s="24">
        <f>SUM(G94,G98,G100)</f>
        <v>102310.48553179353</v>
      </c>
      <c r="H93" s="63">
        <f>AVERAGE(D93:F93)</f>
        <v>440744.93743733334</v>
      </c>
      <c r="I93" s="71">
        <f>SUM(I94:I100)</f>
        <v>1</v>
      </c>
    </row>
    <row r="94" spans="1:9" x14ac:dyDescent="0.25">
      <c r="A94" s="8" t="s">
        <v>137</v>
      </c>
      <c r="B94" s="14" t="s">
        <v>7</v>
      </c>
      <c r="C94" s="67">
        <f>C93*0.1</f>
        <v>34576.951081043713</v>
      </c>
      <c r="D94" s="34">
        <f>SUM(D95:D97)</f>
        <v>28279.199999999997</v>
      </c>
      <c r="E94" s="28">
        <v>141926.23500000002</v>
      </c>
      <c r="F94" s="48"/>
      <c r="G94" s="27">
        <v>40924.194212717412</v>
      </c>
      <c r="H94" s="77"/>
      <c r="I94" s="72">
        <f>C94/$C$93</f>
        <v>0.10000000000000002</v>
      </c>
    </row>
    <row r="95" spans="1:9" hidden="1" outlineLevel="1" x14ac:dyDescent="0.25">
      <c r="A95" s="9"/>
      <c r="B95" s="16" t="s">
        <v>90</v>
      </c>
      <c r="C95" s="62"/>
      <c r="D95" s="29">
        <v>9426.4</v>
      </c>
      <c r="E95" s="33"/>
      <c r="F95" s="50"/>
      <c r="G95" s="32"/>
      <c r="H95" s="62"/>
      <c r="I95" s="62"/>
    </row>
    <row r="96" spans="1:9" hidden="1" outlineLevel="1" x14ac:dyDescent="0.25">
      <c r="A96" s="9"/>
      <c r="B96" s="16" t="s">
        <v>102</v>
      </c>
      <c r="C96" s="62"/>
      <c r="D96" s="29">
        <v>9426.4</v>
      </c>
      <c r="E96" s="33"/>
      <c r="F96" s="50"/>
      <c r="G96" s="32"/>
      <c r="H96" s="62"/>
      <c r="I96" s="62"/>
    </row>
    <row r="97" spans="1:9" hidden="1" outlineLevel="1" x14ac:dyDescent="0.25">
      <c r="A97" s="9"/>
      <c r="B97" s="16" t="s">
        <v>25</v>
      </c>
      <c r="C97" s="62"/>
      <c r="D97" s="29">
        <v>9426.4</v>
      </c>
      <c r="E97" s="33"/>
      <c r="F97" s="50"/>
      <c r="G97" s="32"/>
      <c r="H97" s="62"/>
      <c r="I97" s="62"/>
    </row>
    <row r="98" spans="1:9" collapsed="1" x14ac:dyDescent="0.25">
      <c r="A98" s="8" t="s">
        <v>138</v>
      </c>
      <c r="B98" s="14" t="s">
        <v>26</v>
      </c>
      <c r="C98" s="75">
        <f>C93*0.7</f>
        <v>242038.65756730596</v>
      </c>
      <c r="D98" s="34">
        <f>SUM(D99)</f>
        <v>141396</v>
      </c>
      <c r="E98" s="28">
        <v>425778.70499999996</v>
      </c>
      <c r="F98" s="48"/>
      <c r="G98" s="27">
        <v>30693.145659538059</v>
      </c>
      <c r="H98" s="77"/>
      <c r="I98" s="72">
        <f>C98/$C$93</f>
        <v>0.7</v>
      </c>
    </row>
    <row r="99" spans="1:9" hidden="1" outlineLevel="1" x14ac:dyDescent="0.25">
      <c r="A99" s="9"/>
      <c r="B99" s="16" t="s">
        <v>26</v>
      </c>
      <c r="C99" s="62"/>
      <c r="D99" s="29">
        <v>141396</v>
      </c>
      <c r="E99" s="33"/>
      <c r="F99" s="50"/>
      <c r="G99" s="32"/>
      <c r="H99" s="62"/>
      <c r="I99" s="62"/>
    </row>
    <row r="100" spans="1:9" collapsed="1" x14ac:dyDescent="0.25">
      <c r="A100" s="8" t="s">
        <v>139</v>
      </c>
      <c r="B100" s="14" t="s">
        <v>28</v>
      </c>
      <c r="C100" s="67">
        <f>C93*0.2</f>
        <v>69153.902162087426</v>
      </c>
      <c r="D100" s="34">
        <f>SUM(D101)</f>
        <v>23566</v>
      </c>
      <c r="E100" s="28">
        <v>141926.23500000002</v>
      </c>
      <c r="F100" s="48"/>
      <c r="G100" s="27">
        <v>30693.145659538059</v>
      </c>
      <c r="H100" s="77"/>
      <c r="I100" s="72">
        <f>C100/$C$93</f>
        <v>0.20000000000000004</v>
      </c>
    </row>
    <row r="101" spans="1:9" hidden="1" outlineLevel="1" x14ac:dyDescent="0.25">
      <c r="A101" s="9"/>
      <c r="B101" s="16" t="s">
        <v>28</v>
      </c>
      <c r="C101" s="62"/>
      <c r="D101" s="29">
        <v>23566</v>
      </c>
      <c r="E101" s="33"/>
      <c r="F101" s="50"/>
      <c r="G101" s="32"/>
      <c r="H101" s="62"/>
      <c r="I101" s="62"/>
    </row>
    <row r="102" spans="1:9" collapsed="1" x14ac:dyDescent="0.25">
      <c r="A102" s="7">
        <v>6</v>
      </c>
      <c r="B102" s="13" t="s">
        <v>17</v>
      </c>
      <c r="C102" s="63">
        <f>C2*0.1</f>
        <v>345769.51081043709</v>
      </c>
      <c r="D102" s="24">
        <f>SUM(D103,D107,D109)</f>
        <v>193241.2</v>
      </c>
      <c r="E102" s="25">
        <v>709631.17499999993</v>
      </c>
      <c r="F102" s="47">
        <v>419362.43731199997</v>
      </c>
      <c r="G102" s="24">
        <f>SUM(G103,G107,G109)</f>
        <v>102310.48553179353</v>
      </c>
      <c r="H102" s="63">
        <f>AVERAGE(D102:F102)</f>
        <v>440744.93743733334</v>
      </c>
      <c r="I102" s="71">
        <f>SUM(I103:I109)</f>
        <v>1</v>
      </c>
    </row>
    <row r="103" spans="1:9" x14ac:dyDescent="0.25">
      <c r="A103" s="8" t="s">
        <v>140</v>
      </c>
      <c r="B103" s="14" t="s">
        <v>7</v>
      </c>
      <c r="C103" s="67">
        <f>C102*0.1</f>
        <v>34576.951081043713</v>
      </c>
      <c r="D103" s="34">
        <f>SUM(D104:D106)</f>
        <v>28279.199999999997</v>
      </c>
      <c r="E103" s="28">
        <v>141926.23500000002</v>
      </c>
      <c r="F103" s="48"/>
      <c r="G103" s="27">
        <v>40924.194212717412</v>
      </c>
      <c r="H103" s="77"/>
      <c r="I103" s="72">
        <f>C103/$C$93</f>
        <v>0.10000000000000002</v>
      </c>
    </row>
    <row r="104" spans="1:9" hidden="1" outlineLevel="1" x14ac:dyDescent="0.25">
      <c r="A104" s="9"/>
      <c r="B104" s="16" t="s">
        <v>90</v>
      </c>
      <c r="C104" s="62"/>
      <c r="D104" s="29">
        <v>9426.4</v>
      </c>
      <c r="E104" s="33"/>
      <c r="F104" s="50"/>
      <c r="G104" s="32"/>
      <c r="H104" s="62"/>
      <c r="I104" s="62"/>
    </row>
    <row r="105" spans="1:9" hidden="1" outlineLevel="1" x14ac:dyDescent="0.25">
      <c r="A105" s="9"/>
      <c r="B105" s="16" t="s">
        <v>102</v>
      </c>
      <c r="C105" s="62"/>
      <c r="D105" s="29">
        <v>9426.4</v>
      </c>
      <c r="E105" s="33"/>
      <c r="F105" s="50"/>
      <c r="G105" s="32"/>
      <c r="H105" s="62"/>
      <c r="I105" s="62"/>
    </row>
    <row r="106" spans="1:9" hidden="1" outlineLevel="1" x14ac:dyDescent="0.25">
      <c r="A106" s="9"/>
      <c r="B106" s="16" t="s">
        <v>25</v>
      </c>
      <c r="C106" s="62"/>
      <c r="D106" s="29">
        <v>9426.4</v>
      </c>
      <c r="E106" s="33"/>
      <c r="F106" s="50"/>
      <c r="G106" s="32"/>
      <c r="H106" s="62"/>
      <c r="I106" s="62"/>
    </row>
    <row r="107" spans="1:9" collapsed="1" x14ac:dyDescent="0.25">
      <c r="A107" s="8" t="s">
        <v>141</v>
      </c>
      <c r="B107" s="14" t="s">
        <v>26</v>
      </c>
      <c r="C107" s="75">
        <f>C102*0.7</f>
        <v>242038.65756730596</v>
      </c>
      <c r="D107" s="34">
        <f>SUM(D108)</f>
        <v>141396</v>
      </c>
      <c r="E107" s="28">
        <v>425778.70499999996</v>
      </c>
      <c r="F107" s="48"/>
      <c r="G107" s="27">
        <v>30693.145659538059</v>
      </c>
      <c r="H107" s="77"/>
      <c r="I107" s="72">
        <f>C107/$C$93</f>
        <v>0.7</v>
      </c>
    </row>
    <row r="108" spans="1:9" hidden="1" outlineLevel="1" x14ac:dyDescent="0.25">
      <c r="A108" s="9"/>
      <c r="B108" s="16" t="s">
        <v>26</v>
      </c>
      <c r="C108" s="62"/>
      <c r="D108" s="29">
        <v>141396</v>
      </c>
      <c r="E108" s="33"/>
      <c r="F108" s="50"/>
      <c r="G108" s="32"/>
      <c r="H108" s="62"/>
      <c r="I108" s="62"/>
    </row>
    <row r="109" spans="1:9" collapsed="1" x14ac:dyDescent="0.25">
      <c r="A109" s="8" t="s">
        <v>142</v>
      </c>
      <c r="B109" s="14" t="s">
        <v>28</v>
      </c>
      <c r="C109" s="67">
        <f>C102*0.2</f>
        <v>69153.902162087426</v>
      </c>
      <c r="D109" s="34">
        <f>SUM(D110)</f>
        <v>23566</v>
      </c>
      <c r="E109" s="28">
        <v>141926.23500000002</v>
      </c>
      <c r="F109" s="48"/>
      <c r="G109" s="27">
        <v>30693.145659538059</v>
      </c>
      <c r="H109" s="77"/>
      <c r="I109" s="72">
        <f>C109/$C$93</f>
        <v>0.20000000000000004</v>
      </c>
    </row>
    <row r="110" spans="1:9" ht="13.5" hidden="1" customHeight="1" outlineLevel="1" x14ac:dyDescent="0.25">
      <c r="A110" s="9"/>
      <c r="B110" s="16" t="s">
        <v>28</v>
      </c>
      <c r="C110" s="62"/>
      <c r="D110" s="29">
        <v>23566</v>
      </c>
      <c r="E110" s="33"/>
      <c r="F110" s="50"/>
      <c r="G110" s="32"/>
      <c r="H110" s="62"/>
      <c r="I110" s="62"/>
    </row>
    <row r="111" spans="1:9" collapsed="1" x14ac:dyDescent="0.25">
      <c r="A111" s="7">
        <v>7</v>
      </c>
      <c r="B111" s="13" t="s">
        <v>18</v>
      </c>
      <c r="C111" s="63">
        <f>C2*0.7</f>
        <v>2420386.5756730591</v>
      </c>
      <c r="D111" s="24">
        <f>SUM(D112,D119,D122,D126,D130,D132)</f>
        <v>4515245.5999999996</v>
      </c>
      <c r="E111" s="25">
        <v>3122377.1700000004</v>
      </c>
      <c r="F111" s="47">
        <v>1917085.4277120004</v>
      </c>
      <c r="G111" s="24">
        <f>SUM(G112,G119,G122,G126,G130,G132)</f>
        <v>102310.48553179353</v>
      </c>
      <c r="H111" s="63">
        <f>AVERAGE(D111:F111)</f>
        <v>3184902.7325706668</v>
      </c>
      <c r="I111" s="71">
        <f>SUM(I112:I132)</f>
        <v>1</v>
      </c>
    </row>
    <row r="112" spans="1:9" x14ac:dyDescent="0.25">
      <c r="A112" s="8" t="s">
        <v>143</v>
      </c>
      <c r="B112" s="14" t="s">
        <v>7</v>
      </c>
      <c r="C112" s="67">
        <f>$C$111*0.03</f>
        <v>72611.597270191764</v>
      </c>
      <c r="D112" s="34">
        <f>SUM(D113:D118)</f>
        <v>84837.6</v>
      </c>
      <c r="E112" s="28">
        <v>141926.23500000002</v>
      </c>
      <c r="F112" s="48"/>
      <c r="G112" s="27">
        <v>15346.572829769029</v>
      </c>
      <c r="H112" s="77"/>
      <c r="I112" s="72">
        <f>C112/$C$111</f>
        <v>2.9999999999999995E-2</v>
      </c>
    </row>
    <row r="113" spans="1:9" hidden="1" outlineLevel="2" x14ac:dyDescent="0.25">
      <c r="A113" s="9"/>
      <c r="B113" s="16" t="s">
        <v>98</v>
      </c>
      <c r="C113" s="62"/>
      <c r="D113" s="29">
        <v>14139.599999999999</v>
      </c>
      <c r="E113" s="33"/>
      <c r="F113" s="50"/>
      <c r="G113" s="32"/>
      <c r="H113" s="62"/>
      <c r="I113" s="62"/>
    </row>
    <row r="114" spans="1:9" hidden="1" outlineLevel="2" x14ac:dyDescent="0.25">
      <c r="A114" s="9"/>
      <c r="B114" s="16" t="s">
        <v>90</v>
      </c>
      <c r="C114" s="62"/>
      <c r="D114" s="29">
        <v>14139.599999999999</v>
      </c>
      <c r="E114" s="33"/>
      <c r="F114" s="50"/>
      <c r="G114" s="32"/>
      <c r="H114" s="62"/>
      <c r="I114" s="62"/>
    </row>
    <row r="115" spans="1:9" hidden="1" outlineLevel="2" x14ac:dyDescent="0.25">
      <c r="A115" s="9"/>
      <c r="B115" s="16" t="s">
        <v>99</v>
      </c>
      <c r="C115" s="62"/>
      <c r="D115" s="29">
        <v>14139.599999999999</v>
      </c>
      <c r="E115" s="33"/>
      <c r="F115" s="50"/>
      <c r="G115" s="32"/>
      <c r="H115" s="62"/>
      <c r="I115" s="62"/>
    </row>
    <row r="116" spans="1:9" hidden="1" outlineLevel="2" x14ac:dyDescent="0.25">
      <c r="A116" s="9"/>
      <c r="B116" s="16" t="s">
        <v>100</v>
      </c>
      <c r="C116" s="62"/>
      <c r="D116" s="29">
        <v>14139.599999999999</v>
      </c>
      <c r="E116" s="33"/>
      <c r="F116" s="50"/>
      <c r="G116" s="32"/>
      <c r="H116" s="62"/>
      <c r="I116" s="62"/>
    </row>
    <row r="117" spans="1:9" hidden="1" outlineLevel="2" x14ac:dyDescent="0.25">
      <c r="A117" s="9"/>
      <c r="B117" s="16" t="s">
        <v>101</v>
      </c>
      <c r="C117" s="62"/>
      <c r="D117" s="29">
        <v>14139.599999999999</v>
      </c>
      <c r="E117" s="33"/>
      <c r="F117" s="50"/>
      <c r="G117" s="32"/>
      <c r="H117" s="62"/>
      <c r="I117" s="62"/>
    </row>
    <row r="118" spans="1:9" hidden="1" outlineLevel="2" x14ac:dyDescent="0.25">
      <c r="A118" s="9"/>
      <c r="B118" s="16" t="s">
        <v>102</v>
      </c>
      <c r="C118" s="62"/>
      <c r="D118" s="29">
        <v>14139.599999999999</v>
      </c>
      <c r="E118" s="33"/>
      <c r="F118" s="50"/>
      <c r="G118" s="32"/>
      <c r="H118" s="62"/>
      <c r="I118" s="62"/>
    </row>
    <row r="119" spans="1:9" collapsed="1" x14ac:dyDescent="0.25">
      <c r="A119" s="8" t="s">
        <v>144</v>
      </c>
      <c r="B119" s="14" t="s">
        <v>20</v>
      </c>
      <c r="C119" s="67">
        <f>$C$111*0.22</f>
        <v>532485.04664807301</v>
      </c>
      <c r="D119" s="34">
        <f>SUM(D120:D121)</f>
        <v>2003110</v>
      </c>
      <c r="E119" s="28">
        <v>709631.17500000005</v>
      </c>
      <c r="F119" s="48"/>
      <c r="G119" s="27">
        <v>20462.097106358706</v>
      </c>
      <c r="H119" s="77"/>
      <c r="I119" s="72">
        <f>C119/$C$111</f>
        <v>0.22</v>
      </c>
    </row>
    <row r="120" spans="1:9" ht="30" hidden="1" outlineLevel="1" x14ac:dyDescent="0.25">
      <c r="A120" s="9"/>
      <c r="B120" s="15" t="s">
        <v>51</v>
      </c>
      <c r="C120" s="61"/>
      <c r="D120" s="29">
        <v>1885280</v>
      </c>
      <c r="E120" s="31"/>
      <c r="F120" s="49"/>
      <c r="G120" s="30"/>
      <c r="H120" s="61"/>
      <c r="I120" s="61"/>
    </row>
    <row r="121" spans="1:9" hidden="1" outlineLevel="1" x14ac:dyDescent="0.25">
      <c r="A121" s="9"/>
      <c r="B121" s="16" t="s">
        <v>23</v>
      </c>
      <c r="C121" s="62"/>
      <c r="D121" s="29">
        <v>117830</v>
      </c>
      <c r="E121" s="33"/>
      <c r="F121" s="50"/>
      <c r="G121" s="32"/>
      <c r="H121" s="62"/>
      <c r="I121" s="62"/>
    </row>
    <row r="122" spans="1:9" collapsed="1" x14ac:dyDescent="0.25">
      <c r="A122" s="8" t="s">
        <v>145</v>
      </c>
      <c r="B122" s="14" t="s">
        <v>48</v>
      </c>
      <c r="C122" s="67">
        <f>$C$111*0.4</f>
        <v>968154.63026922371</v>
      </c>
      <c r="D122" s="34">
        <f>SUM(D123:D125)</f>
        <v>1060470</v>
      </c>
      <c r="E122" s="28">
        <v>1135409.8800000001</v>
      </c>
      <c r="F122" s="48"/>
      <c r="G122" s="27">
        <v>25577.621382948382</v>
      </c>
      <c r="H122" s="77"/>
      <c r="I122" s="72">
        <f>C122/$C$111</f>
        <v>0.4</v>
      </c>
    </row>
    <row r="123" spans="1:9" ht="15" hidden="1" customHeight="1" outlineLevel="1" x14ac:dyDescent="0.25">
      <c r="A123" s="9"/>
      <c r="B123" s="16" t="s">
        <v>164</v>
      </c>
      <c r="C123" s="62"/>
      <c r="D123" s="29">
        <v>353490</v>
      </c>
      <c r="E123" s="33"/>
      <c r="F123" s="50"/>
      <c r="G123" s="32"/>
      <c r="H123" s="62"/>
      <c r="I123" s="62"/>
    </row>
    <row r="124" spans="1:9" hidden="1" outlineLevel="1" x14ac:dyDescent="0.25">
      <c r="A124" s="9"/>
      <c r="B124" s="16" t="s">
        <v>165</v>
      </c>
      <c r="C124" s="62"/>
      <c r="D124" s="29">
        <v>353490</v>
      </c>
      <c r="E124" s="33"/>
      <c r="F124" s="50"/>
      <c r="G124" s="32"/>
      <c r="H124" s="62"/>
      <c r="I124" s="62"/>
    </row>
    <row r="125" spans="1:9" hidden="1" outlineLevel="1" x14ac:dyDescent="0.25">
      <c r="A125" s="9"/>
      <c r="B125" s="16" t="s">
        <v>166</v>
      </c>
      <c r="C125" s="62"/>
      <c r="D125" s="29">
        <v>353490</v>
      </c>
      <c r="E125" s="33"/>
      <c r="F125" s="50"/>
      <c r="G125" s="32"/>
      <c r="H125" s="62"/>
      <c r="I125" s="62"/>
    </row>
    <row r="126" spans="1:9" collapsed="1" x14ac:dyDescent="0.25">
      <c r="A126" s="8" t="s">
        <v>146</v>
      </c>
      <c r="B126" s="14" t="s">
        <v>34</v>
      </c>
      <c r="C126" s="67">
        <f>$C$111*0.2</f>
        <v>484077.31513461185</v>
      </c>
      <c r="D126" s="34">
        <f>SUM(D127:D129)</f>
        <v>966206</v>
      </c>
      <c r="E126" s="28">
        <v>567704.94000000006</v>
      </c>
      <c r="F126" s="48"/>
      <c r="G126" s="27">
        <v>20462.097106358706</v>
      </c>
      <c r="H126" s="77"/>
      <c r="I126" s="72">
        <f>C126/$C$111</f>
        <v>0.2</v>
      </c>
    </row>
    <row r="127" spans="1:9" hidden="1" outlineLevel="1" x14ac:dyDescent="0.25">
      <c r="A127" s="9"/>
      <c r="B127" s="16" t="s">
        <v>35</v>
      </c>
      <c r="C127" s="62"/>
      <c r="D127" s="29">
        <v>117830</v>
      </c>
      <c r="E127" s="33"/>
      <c r="F127" s="50"/>
      <c r="G127" s="32"/>
      <c r="H127" s="62"/>
      <c r="I127" s="62"/>
    </row>
    <row r="128" spans="1:9" ht="30" hidden="1" outlineLevel="1" x14ac:dyDescent="0.25">
      <c r="A128" s="9"/>
      <c r="B128" s="15" t="s">
        <v>31</v>
      </c>
      <c r="C128" s="61"/>
      <c r="D128" s="29">
        <v>424188</v>
      </c>
      <c r="E128" s="31"/>
      <c r="F128" s="49"/>
      <c r="G128" s="30"/>
      <c r="H128" s="61"/>
      <c r="I128" s="61"/>
    </row>
    <row r="129" spans="1:9" ht="30" hidden="1" outlineLevel="1" x14ac:dyDescent="0.25">
      <c r="A129" s="9"/>
      <c r="B129" s="15" t="s">
        <v>33</v>
      </c>
      <c r="C129" s="61"/>
      <c r="D129" s="29">
        <v>424188</v>
      </c>
      <c r="E129" s="31"/>
      <c r="F129" s="49"/>
      <c r="G129" s="30"/>
      <c r="H129" s="61"/>
      <c r="I129" s="61"/>
    </row>
    <row r="130" spans="1:9" collapsed="1" x14ac:dyDescent="0.25">
      <c r="A130" s="8" t="s">
        <v>147</v>
      </c>
      <c r="B130" s="14" t="s">
        <v>26</v>
      </c>
      <c r="C130" s="67">
        <f>$C$111*0.1</f>
        <v>242038.65756730593</v>
      </c>
      <c r="D130" s="34">
        <f>SUM(D131)</f>
        <v>282792</v>
      </c>
      <c r="E130" s="28">
        <v>283852.47000000003</v>
      </c>
      <c r="F130" s="48"/>
      <c r="G130" s="27">
        <v>10231.048553179353</v>
      </c>
      <c r="H130" s="77"/>
      <c r="I130" s="72">
        <f>C130/$C$111</f>
        <v>0.1</v>
      </c>
    </row>
    <row r="131" spans="1:9" hidden="1" outlineLevel="1" x14ac:dyDescent="0.25">
      <c r="A131" s="9"/>
      <c r="B131" s="16" t="s">
        <v>26</v>
      </c>
      <c r="C131" s="62"/>
      <c r="D131" s="29">
        <v>282792</v>
      </c>
      <c r="E131" s="33"/>
      <c r="F131" s="50"/>
      <c r="G131" s="32"/>
      <c r="H131" s="62"/>
      <c r="I131" s="62"/>
    </row>
    <row r="132" spans="1:9" collapsed="1" x14ac:dyDescent="0.25">
      <c r="A132" s="8" t="s">
        <v>158</v>
      </c>
      <c r="B132" s="14" t="s">
        <v>28</v>
      </c>
      <c r="C132" s="67">
        <f>$C$111*0.05</f>
        <v>121019.32878365296</v>
      </c>
      <c r="D132" s="34">
        <f>SUM(D133)</f>
        <v>117830</v>
      </c>
      <c r="E132" s="28">
        <v>283852.47000000003</v>
      </c>
      <c r="F132" s="48"/>
      <c r="G132" s="27">
        <v>10231.048553179353</v>
      </c>
      <c r="H132" s="77"/>
      <c r="I132" s="72">
        <f>C132/$C$111</f>
        <v>0.05</v>
      </c>
    </row>
    <row r="133" spans="1:9" hidden="1" outlineLevel="1" x14ac:dyDescent="0.25">
      <c r="A133" s="9"/>
      <c r="B133" s="16" t="s">
        <v>28</v>
      </c>
      <c r="C133" s="62"/>
      <c r="D133" s="29">
        <v>117830</v>
      </c>
      <c r="E133" s="33"/>
      <c r="F133" s="50"/>
      <c r="G133" s="32"/>
      <c r="H133" s="62"/>
      <c r="I133" s="62"/>
    </row>
    <row r="134" spans="1:9" collapsed="1" x14ac:dyDescent="0.25">
      <c r="A134" s="7">
        <v>8</v>
      </c>
      <c r="B134" s="13" t="s">
        <v>10</v>
      </c>
      <c r="C134" s="63">
        <f>'[1]Parte B'!$G$152</f>
        <v>1181827.9593017334</v>
      </c>
      <c r="D134" s="24">
        <f>SUM(D135,D137,D139)</f>
        <v>537304.80000000005</v>
      </c>
      <c r="E134" s="25">
        <v>851557.41</v>
      </c>
      <c r="F134" s="47">
        <v>573487.09376000008</v>
      </c>
      <c r="G134" s="24">
        <f>SUM(G135,G137,G139)</f>
        <v>255239.62180512439</v>
      </c>
      <c r="H134" s="63">
        <f>AVERAGE(D134:F134)</f>
        <v>654116.43458666664</v>
      </c>
      <c r="I134" s="71">
        <f>SUM(I135:I139)</f>
        <v>1</v>
      </c>
    </row>
    <row r="135" spans="1:9" x14ac:dyDescent="0.25">
      <c r="A135" s="8" t="s">
        <v>148</v>
      </c>
      <c r="B135" s="14" t="s">
        <v>7</v>
      </c>
      <c r="C135" s="67">
        <f>$C$134*0.03</f>
        <v>35454.838779051999</v>
      </c>
      <c r="D135" s="34">
        <f>SUM(D136)</f>
        <v>18852.8</v>
      </c>
      <c r="E135" s="28">
        <v>141926.23500000002</v>
      </c>
      <c r="F135" s="48"/>
      <c r="G135" s="27">
        <v>25523.962180512441</v>
      </c>
      <c r="H135" s="77"/>
      <c r="I135" s="72">
        <f>C135/$C$134</f>
        <v>0.03</v>
      </c>
    </row>
    <row r="136" spans="1:9" hidden="1" outlineLevel="1" x14ac:dyDescent="0.25">
      <c r="A136" s="9"/>
      <c r="B136" s="16" t="s">
        <v>24</v>
      </c>
      <c r="C136" s="62"/>
      <c r="D136" s="29">
        <v>18852.8</v>
      </c>
      <c r="E136" s="33"/>
      <c r="F136" s="50"/>
      <c r="G136" s="32"/>
      <c r="H136" s="62"/>
      <c r="I136" s="62"/>
    </row>
    <row r="137" spans="1:9" collapsed="1" x14ac:dyDescent="0.25">
      <c r="A137" s="8" t="s">
        <v>149</v>
      </c>
      <c r="B137" s="14" t="s">
        <v>26</v>
      </c>
      <c r="C137" s="67">
        <f>$C$134*0.8</f>
        <v>945462.3674413868</v>
      </c>
      <c r="D137" s="34">
        <f>SUM(D138)</f>
        <v>471320</v>
      </c>
      <c r="E137" s="28">
        <v>567704.94000000006</v>
      </c>
      <c r="F137" s="48"/>
      <c r="G137" s="27">
        <v>114857.82981230598</v>
      </c>
      <c r="H137" s="77"/>
      <c r="I137" s="72">
        <f>C137/$C$134</f>
        <v>0.8</v>
      </c>
    </row>
    <row r="138" spans="1:9" hidden="1" outlineLevel="1" x14ac:dyDescent="0.25">
      <c r="A138" s="9"/>
      <c r="B138" s="16" t="s">
        <v>26</v>
      </c>
      <c r="C138" s="62"/>
      <c r="D138" s="29">
        <v>471320</v>
      </c>
      <c r="E138" s="33"/>
      <c r="F138" s="50"/>
      <c r="G138" s="32"/>
      <c r="H138" s="62"/>
      <c r="I138" s="62"/>
    </row>
    <row r="139" spans="1:9" collapsed="1" x14ac:dyDescent="0.25">
      <c r="A139" s="8" t="s">
        <v>150</v>
      </c>
      <c r="B139" s="14" t="s">
        <v>28</v>
      </c>
      <c r="C139" s="67">
        <f>$C$134*0.17</f>
        <v>200910.75308129471</v>
      </c>
      <c r="D139" s="34">
        <f>SUM(D140)</f>
        <v>47132</v>
      </c>
      <c r="E139" s="28">
        <v>141926.23500000002</v>
      </c>
      <c r="F139" s="48"/>
      <c r="G139" s="27">
        <v>114857.82981230598</v>
      </c>
      <c r="H139" s="77"/>
      <c r="I139" s="72">
        <f>C139/$C$134</f>
        <v>0.17</v>
      </c>
    </row>
    <row r="140" spans="1:9" hidden="1" outlineLevel="1" x14ac:dyDescent="0.25">
      <c r="A140" s="9"/>
      <c r="B140" s="16" t="s">
        <v>28</v>
      </c>
      <c r="C140" s="62"/>
      <c r="D140" s="29">
        <v>47132</v>
      </c>
      <c r="E140" s="33"/>
      <c r="F140" s="50"/>
      <c r="G140" s="32"/>
      <c r="H140" s="62"/>
      <c r="I140" s="62"/>
    </row>
    <row r="141" spans="1:9" collapsed="1" x14ac:dyDescent="0.25">
      <c r="A141" s="7">
        <v>9</v>
      </c>
      <c r="B141" s="13" t="s">
        <v>27</v>
      </c>
      <c r="C141" s="63">
        <f>'[1]Parte B'!$G$171+'[1]Parte B'!$G$160</f>
        <v>1120275.9591456405</v>
      </c>
      <c r="D141" s="24">
        <f>SUM(D142,D144,D146)</f>
        <v>1048687</v>
      </c>
      <c r="E141" s="25">
        <v>2412745.9950000006</v>
      </c>
      <c r="F141" s="47">
        <v>1146974.1875200004</v>
      </c>
      <c r="G141" s="24">
        <f>SUM(G142,G144,G146)</f>
        <v>1135816.0596446609</v>
      </c>
      <c r="H141" s="63">
        <f>AVERAGE(D141:F141)</f>
        <v>1536135.7275066671</v>
      </c>
      <c r="I141" s="71">
        <f>SUM(I142:I146)</f>
        <v>1</v>
      </c>
    </row>
    <row r="142" spans="1:9" x14ac:dyDescent="0.25">
      <c r="A142" s="8" t="s">
        <v>151</v>
      </c>
      <c r="B142" s="14" t="s">
        <v>7</v>
      </c>
      <c r="C142" s="67">
        <f>$C$141*0.03</f>
        <v>33608.278774369217</v>
      </c>
      <c r="D142" s="34">
        <f>SUM(D143)</f>
        <v>47132</v>
      </c>
      <c r="E142" s="28">
        <v>141926.23500000002</v>
      </c>
      <c r="F142" s="48"/>
      <c r="G142" s="27">
        <v>113581.60596446607</v>
      </c>
      <c r="H142" s="77"/>
      <c r="I142" s="72">
        <f>C142/$C$141</f>
        <v>3.0000000000000002E-2</v>
      </c>
    </row>
    <row r="143" spans="1:9" hidden="1" outlineLevel="1" x14ac:dyDescent="0.25">
      <c r="A143" s="9"/>
      <c r="B143" s="16" t="s">
        <v>24</v>
      </c>
      <c r="C143" s="62"/>
      <c r="D143" s="29">
        <v>47132</v>
      </c>
      <c r="E143" s="33"/>
      <c r="F143" s="50"/>
      <c r="G143" s="32"/>
      <c r="H143" s="62"/>
      <c r="I143" s="62"/>
    </row>
    <row r="144" spans="1:9" collapsed="1" x14ac:dyDescent="0.25">
      <c r="A144" s="8" t="s">
        <v>152</v>
      </c>
      <c r="B144" s="14" t="s">
        <v>29</v>
      </c>
      <c r="C144" s="67">
        <f>$C$141*0.8</f>
        <v>896220.76731651241</v>
      </c>
      <c r="D144" s="34">
        <f>SUM(D145)</f>
        <v>942640</v>
      </c>
      <c r="E144" s="28">
        <v>1986967.2900000003</v>
      </c>
      <c r="F144" s="48"/>
      <c r="G144" s="27">
        <v>511117.22684009734</v>
      </c>
      <c r="H144" s="77"/>
      <c r="I144" s="72">
        <f>C144/$C$141</f>
        <v>0.8</v>
      </c>
    </row>
    <row r="145" spans="1:9" hidden="1" outlineLevel="1" x14ac:dyDescent="0.25">
      <c r="A145" s="9"/>
      <c r="B145" s="16" t="s">
        <v>29</v>
      </c>
      <c r="C145" s="62"/>
      <c r="D145" s="29">
        <v>942640</v>
      </c>
      <c r="E145" s="33"/>
      <c r="F145" s="50"/>
      <c r="G145" s="32"/>
      <c r="H145" s="62"/>
      <c r="I145" s="62"/>
    </row>
    <row r="146" spans="1:9" collapsed="1" x14ac:dyDescent="0.25">
      <c r="A146" s="8" t="s">
        <v>153</v>
      </c>
      <c r="B146" s="14" t="s">
        <v>28</v>
      </c>
      <c r="C146" s="67">
        <f>$C$141*0.17</f>
        <v>190446.91305475889</v>
      </c>
      <c r="D146" s="34">
        <f>SUM(D147)</f>
        <v>58915</v>
      </c>
      <c r="E146" s="28">
        <v>283852.47000000003</v>
      </c>
      <c r="F146" s="48"/>
      <c r="G146" s="27">
        <v>511117.22684009734</v>
      </c>
      <c r="H146" s="77"/>
      <c r="I146" s="72">
        <f>C146/$C$141</f>
        <v>0.17</v>
      </c>
    </row>
    <row r="147" spans="1:9" hidden="1" outlineLevel="1" x14ac:dyDescent="0.25">
      <c r="A147" s="9"/>
      <c r="B147" s="16" t="s">
        <v>28</v>
      </c>
      <c r="C147" s="62"/>
      <c r="D147" s="29">
        <v>58915</v>
      </c>
      <c r="E147" s="33"/>
      <c r="F147" s="50"/>
      <c r="G147" s="32"/>
      <c r="H147" s="62"/>
      <c r="I147" s="62"/>
    </row>
    <row r="148" spans="1:9" collapsed="1" x14ac:dyDescent="0.25">
      <c r="A148" s="7">
        <v>10</v>
      </c>
      <c r="B148" s="13" t="s">
        <v>78</v>
      </c>
      <c r="C148" s="63">
        <f>'[1]Parte B'!$G$179</f>
        <v>838876.51954124798</v>
      </c>
      <c r="D148" s="24">
        <f>SUM(D149,D151)</f>
        <v>1555356</v>
      </c>
      <c r="E148" s="25">
        <v>2554672.2300000004</v>
      </c>
      <c r="F148" s="47">
        <v>1106010.8236799999</v>
      </c>
      <c r="G148" s="24">
        <f>SUM(G149,G151)</f>
        <v>1470624.5637942774</v>
      </c>
      <c r="H148" s="63">
        <f>AVERAGE(D148:F148)</f>
        <v>1738679.6845600002</v>
      </c>
      <c r="I148" s="71">
        <f>SUM(I149:I151)</f>
        <v>1</v>
      </c>
    </row>
    <row r="149" spans="1:9" x14ac:dyDescent="0.25">
      <c r="A149" s="8" t="s">
        <v>154</v>
      </c>
      <c r="B149" s="14" t="s">
        <v>7</v>
      </c>
      <c r="C149" s="67">
        <f>C148*0.05</f>
        <v>41943.825977062399</v>
      </c>
      <c r="D149" s="34">
        <f>SUM(D150)</f>
        <v>47132</v>
      </c>
      <c r="E149" s="28">
        <v>283852.47000000003</v>
      </c>
      <c r="F149" s="48"/>
      <c r="G149" s="27">
        <v>147062.45637942772</v>
      </c>
      <c r="H149" s="77"/>
      <c r="I149" s="72">
        <f>C149/C148</f>
        <v>0.05</v>
      </c>
    </row>
    <row r="150" spans="1:9" hidden="1" outlineLevel="1" x14ac:dyDescent="0.25">
      <c r="A150" s="9"/>
      <c r="B150" s="16" t="s">
        <v>79</v>
      </c>
      <c r="C150" s="62"/>
      <c r="D150" s="29">
        <v>47132</v>
      </c>
      <c r="E150" s="33"/>
      <c r="F150" s="50"/>
      <c r="G150" s="32"/>
      <c r="H150" s="62"/>
      <c r="I150" s="62"/>
    </row>
    <row r="151" spans="1:9" collapsed="1" x14ac:dyDescent="0.25">
      <c r="A151" s="8" t="s">
        <v>155</v>
      </c>
      <c r="B151" s="14" t="s">
        <v>91</v>
      </c>
      <c r="C151" s="67">
        <f>C148*0.95</f>
        <v>796932.69356418552</v>
      </c>
      <c r="D151" s="34">
        <f>SUM(D152:D158)</f>
        <v>1508224</v>
      </c>
      <c r="E151" s="28">
        <v>2270819.7600000002</v>
      </c>
      <c r="F151" s="48"/>
      <c r="G151" s="27">
        <v>1323562.1074148496</v>
      </c>
      <c r="H151" s="77"/>
      <c r="I151" s="72">
        <f>C151/C148</f>
        <v>0.95</v>
      </c>
    </row>
    <row r="152" spans="1:9" hidden="1" outlineLevel="1" x14ac:dyDescent="0.25">
      <c r="A152" s="9"/>
      <c r="B152" s="3" t="s">
        <v>156</v>
      </c>
      <c r="C152" s="43"/>
      <c r="D152" s="29">
        <v>235660</v>
      </c>
      <c r="E152" s="43"/>
      <c r="F152" s="43"/>
      <c r="G152" s="32"/>
      <c r="H152" s="43"/>
      <c r="I152" s="43"/>
    </row>
    <row r="153" spans="1:9" hidden="1" outlineLevel="1" x14ac:dyDescent="0.25">
      <c r="A153" s="9"/>
      <c r="B153" s="16" t="s">
        <v>92</v>
      </c>
      <c r="C153" s="65"/>
      <c r="D153" s="29">
        <v>188528</v>
      </c>
      <c r="E153" s="40"/>
      <c r="F153" s="54"/>
      <c r="G153" s="32"/>
      <c r="H153" s="65"/>
      <c r="I153" s="65"/>
    </row>
    <row r="154" spans="1:9" hidden="1" outlineLevel="1" x14ac:dyDescent="0.25">
      <c r="A154" s="9"/>
      <c r="B154" s="16" t="s">
        <v>93</v>
      </c>
      <c r="C154" s="65"/>
      <c r="D154" s="29">
        <v>188528</v>
      </c>
      <c r="E154" s="40"/>
      <c r="F154" s="54"/>
      <c r="G154" s="32"/>
      <c r="H154" s="65"/>
      <c r="I154" s="65"/>
    </row>
    <row r="155" spans="1:9" hidden="1" outlineLevel="1" x14ac:dyDescent="0.25">
      <c r="A155" s="9"/>
      <c r="B155" s="16" t="s">
        <v>94</v>
      </c>
      <c r="C155" s="65"/>
      <c r="D155" s="29">
        <v>188528</v>
      </c>
      <c r="E155" s="40"/>
      <c r="F155" s="54"/>
      <c r="G155" s="32"/>
      <c r="H155" s="65"/>
      <c r="I155" s="65"/>
    </row>
    <row r="156" spans="1:9" hidden="1" outlineLevel="1" x14ac:dyDescent="0.25">
      <c r="A156" s="9"/>
      <c r="B156" s="4" t="s">
        <v>95</v>
      </c>
      <c r="C156" s="45"/>
      <c r="D156" s="29">
        <v>141396</v>
      </c>
      <c r="E156" s="45"/>
      <c r="F156" s="45"/>
      <c r="G156" s="44"/>
      <c r="H156" s="45"/>
      <c r="I156" s="45"/>
    </row>
    <row r="157" spans="1:9" hidden="1" outlineLevel="1" x14ac:dyDescent="0.25">
      <c r="A157" s="9"/>
      <c r="B157" s="16" t="s">
        <v>96</v>
      </c>
      <c r="C157" s="65"/>
      <c r="D157" s="29">
        <v>94264</v>
      </c>
      <c r="E157" s="40"/>
      <c r="F157" s="54"/>
      <c r="G157" s="32"/>
      <c r="H157" s="65"/>
      <c r="I157" s="65"/>
    </row>
    <row r="158" spans="1:9" hidden="1" outlineLevel="1" x14ac:dyDescent="0.25">
      <c r="A158" s="9"/>
      <c r="B158" s="16" t="s">
        <v>97</v>
      </c>
      <c r="C158" s="65"/>
      <c r="D158" s="29">
        <v>471320</v>
      </c>
      <c r="E158" s="40"/>
      <c r="F158" s="54"/>
      <c r="G158" s="32"/>
      <c r="H158" s="65"/>
      <c r="I158" s="65"/>
    </row>
    <row r="159" spans="1:9" collapsed="1" x14ac:dyDescent="0.25">
      <c r="A159" s="7">
        <v>11</v>
      </c>
      <c r="B159" s="13" t="s">
        <v>59</v>
      </c>
      <c r="C159" s="63">
        <f>'[1]Parte B'!$G$164</f>
        <v>771323.94065004145</v>
      </c>
      <c r="D159" s="23">
        <f>SUM(D160:D162)</f>
        <v>801244</v>
      </c>
      <c r="E159" s="25">
        <v>1135409.8800000001</v>
      </c>
      <c r="F159" s="47">
        <v>1198178.3923200001</v>
      </c>
      <c r="G159" s="24">
        <v>985600</v>
      </c>
      <c r="H159" s="63">
        <f>AVERAGE(D159:F159)</f>
        <v>1044944.0907733334</v>
      </c>
      <c r="I159" s="71">
        <v>1</v>
      </c>
    </row>
    <row r="160" spans="1:9" hidden="1" outlineLevel="1" x14ac:dyDescent="0.25">
      <c r="A160" s="9"/>
      <c r="B160" s="16" t="s">
        <v>60</v>
      </c>
      <c r="C160" s="62"/>
      <c r="D160" s="29">
        <v>353490</v>
      </c>
      <c r="E160" s="33"/>
      <c r="F160" s="50"/>
      <c r="G160" s="32"/>
      <c r="H160" s="62"/>
      <c r="I160" s="62"/>
    </row>
    <row r="161" spans="1:9" hidden="1" outlineLevel="1" x14ac:dyDescent="0.25">
      <c r="A161" s="9"/>
      <c r="B161" s="16" t="s">
        <v>62</v>
      </c>
      <c r="C161" s="62"/>
      <c r="D161" s="29">
        <v>353490</v>
      </c>
      <c r="E161" s="33"/>
      <c r="F161" s="50"/>
      <c r="G161" s="32"/>
      <c r="H161" s="62"/>
      <c r="I161" s="62"/>
    </row>
    <row r="162" spans="1:9" hidden="1" outlineLevel="1" x14ac:dyDescent="0.25">
      <c r="A162" s="9"/>
      <c r="B162" s="16" t="s">
        <v>61</v>
      </c>
      <c r="C162" s="62"/>
      <c r="D162" s="29">
        <v>94264</v>
      </c>
      <c r="E162" s="33"/>
      <c r="F162" s="50"/>
      <c r="G162" s="32"/>
      <c r="H162" s="62"/>
      <c r="I162" s="62"/>
    </row>
    <row r="163" spans="1:9" collapsed="1" x14ac:dyDescent="0.25">
      <c r="A163" s="7">
        <v>12</v>
      </c>
      <c r="B163" s="13" t="s">
        <v>52</v>
      </c>
      <c r="C163" s="47">
        <f>'[1]Parte B'!$G$187</f>
        <v>440476.93555695692</v>
      </c>
      <c r="D163" s="24">
        <f>SUM(D164,D167,D170)</f>
        <v>221520.4</v>
      </c>
      <c r="E163" s="25">
        <v>1277336.1150000002</v>
      </c>
      <c r="F163" s="47">
        <v>307225.22880000004</v>
      </c>
      <c r="G163" s="24">
        <f>SUM(G164,G167,G170)</f>
        <v>2233346.6907948381</v>
      </c>
      <c r="H163" s="63">
        <f>AVERAGE(D163:F163)</f>
        <v>602027.24793333339</v>
      </c>
      <c r="I163" s="71">
        <f>SUM(I164:I170)</f>
        <v>1</v>
      </c>
    </row>
    <row r="164" spans="1:9" x14ac:dyDescent="0.25">
      <c r="A164" s="8" t="s">
        <v>159</v>
      </c>
      <c r="B164" s="14" t="s">
        <v>7</v>
      </c>
      <c r="C164" s="67">
        <f>$C$163*0.03</f>
        <v>13214.308066708707</v>
      </c>
      <c r="D164" s="34">
        <f>SUM(D165:D166)</f>
        <v>37705.599999999999</v>
      </c>
      <c r="E164" s="28">
        <v>141926.23500000002</v>
      </c>
      <c r="F164" s="48"/>
      <c r="G164" s="27">
        <v>223334.66907948384</v>
      </c>
      <c r="H164" s="77"/>
      <c r="I164" s="72">
        <f>C164/$C$163</f>
        <v>0.03</v>
      </c>
    </row>
    <row r="165" spans="1:9" hidden="1" outlineLevel="1" x14ac:dyDescent="0.25">
      <c r="A165" s="9"/>
      <c r="B165" s="16" t="s">
        <v>103</v>
      </c>
      <c r="C165" s="62"/>
      <c r="D165" s="29">
        <v>18852.8</v>
      </c>
      <c r="E165" s="33"/>
      <c r="F165" s="50"/>
      <c r="G165" s="32"/>
      <c r="H165" s="62"/>
      <c r="I165" s="62"/>
    </row>
    <row r="166" spans="1:9" hidden="1" outlineLevel="1" x14ac:dyDescent="0.25">
      <c r="A166" s="9"/>
      <c r="B166" s="16" t="s">
        <v>58</v>
      </c>
      <c r="C166" s="62"/>
      <c r="D166" s="29">
        <v>18852.8</v>
      </c>
      <c r="E166" s="33"/>
      <c r="F166" s="50"/>
      <c r="G166" s="32"/>
      <c r="H166" s="62"/>
      <c r="I166" s="62"/>
    </row>
    <row r="167" spans="1:9" collapsed="1" x14ac:dyDescent="0.25">
      <c r="A167" s="8" t="s">
        <v>160</v>
      </c>
      <c r="B167" s="14" t="s">
        <v>56</v>
      </c>
      <c r="C167" s="67">
        <f>$C$163*0.5</f>
        <v>220238.46777847846</v>
      </c>
      <c r="D167" s="34">
        <f>SUM(D168:D169)</f>
        <v>89550.8</v>
      </c>
      <c r="E167" s="28">
        <v>567704.94000000006</v>
      </c>
      <c r="F167" s="48"/>
      <c r="G167" s="27">
        <v>781671.34177819325</v>
      </c>
      <c r="H167" s="77"/>
      <c r="I167" s="72">
        <f>C167/$C$163</f>
        <v>0.5</v>
      </c>
    </row>
    <row r="168" spans="1:9" hidden="1" outlineLevel="1" x14ac:dyDescent="0.25">
      <c r="A168" s="9"/>
      <c r="B168" s="16" t="s">
        <v>54</v>
      </c>
      <c r="C168" s="62"/>
      <c r="D168" s="29">
        <v>18852.8</v>
      </c>
      <c r="E168" s="33"/>
      <c r="F168" s="50"/>
      <c r="G168" s="32"/>
      <c r="H168" s="62"/>
      <c r="I168" s="62"/>
    </row>
    <row r="169" spans="1:9" hidden="1" outlineLevel="1" x14ac:dyDescent="0.25">
      <c r="A169" s="9"/>
      <c r="B169" s="16" t="s">
        <v>53</v>
      </c>
      <c r="C169" s="62"/>
      <c r="D169" s="29">
        <v>70698</v>
      </c>
      <c r="E169" s="33"/>
      <c r="F169" s="50"/>
      <c r="G169" s="32"/>
      <c r="H169" s="62"/>
      <c r="I169" s="62"/>
    </row>
    <row r="170" spans="1:9" collapsed="1" x14ac:dyDescent="0.25">
      <c r="A170" s="8" t="s">
        <v>161</v>
      </c>
      <c r="B170" s="14" t="s">
        <v>55</v>
      </c>
      <c r="C170" s="67">
        <f>$C$163*0.47</f>
        <v>207024.15971176975</v>
      </c>
      <c r="D170" s="34">
        <f>SUM(D171)</f>
        <v>94264</v>
      </c>
      <c r="E170" s="28">
        <v>567704.94000000006</v>
      </c>
      <c r="F170" s="48"/>
      <c r="G170" s="27">
        <v>1228340.679937161</v>
      </c>
      <c r="H170" s="77"/>
      <c r="I170" s="72">
        <f>C170/$C$163</f>
        <v>0.47000000000000003</v>
      </c>
    </row>
    <row r="171" spans="1:9" hidden="1" outlineLevel="1" x14ac:dyDescent="0.25">
      <c r="A171" s="9"/>
      <c r="B171" s="16" t="s">
        <v>57</v>
      </c>
      <c r="C171" s="62"/>
      <c r="D171" s="29">
        <v>94264</v>
      </c>
      <c r="E171" s="33"/>
      <c r="F171" s="50"/>
      <c r="G171" s="32"/>
      <c r="H171" s="62"/>
      <c r="I171" s="62"/>
    </row>
    <row r="172" spans="1:9" collapsed="1" x14ac:dyDescent="0.25">
      <c r="A172" s="7">
        <v>13</v>
      </c>
      <c r="B172" s="13" t="s">
        <v>82</v>
      </c>
      <c r="C172" s="63">
        <f>[1]Comunicação!$B$11</f>
        <v>600000</v>
      </c>
      <c r="D172" s="24">
        <f>SUM(D173:D175)</f>
        <v>273365.59999999998</v>
      </c>
      <c r="E172" s="25">
        <v>709631.17500000005</v>
      </c>
      <c r="F172" s="47">
        <v>307225.22880000004</v>
      </c>
      <c r="G172" s="24">
        <f>SUM(G173:G175)</f>
        <v>762333</v>
      </c>
      <c r="H172" s="63">
        <f>AVERAGE(D172:F172)</f>
        <v>430074.00126666669</v>
      </c>
      <c r="I172" s="71">
        <f>SUM(I173:I175)</f>
        <v>1</v>
      </c>
    </row>
    <row r="173" spans="1:9" x14ac:dyDescent="0.25">
      <c r="A173" s="8" t="s">
        <v>162</v>
      </c>
      <c r="B173" s="14" t="s">
        <v>7</v>
      </c>
      <c r="C173" s="67">
        <f>$C$172*0.15</f>
        <v>90000</v>
      </c>
      <c r="D173" s="34">
        <f>SUM(D174)</f>
        <v>18852.8</v>
      </c>
      <c r="E173" s="28">
        <v>141926.23500000002</v>
      </c>
      <c r="F173" s="48"/>
      <c r="G173" s="27">
        <v>190583.25</v>
      </c>
      <c r="H173" s="77"/>
      <c r="I173" s="72">
        <f>C173/$C$172</f>
        <v>0.15</v>
      </c>
    </row>
    <row r="174" spans="1:9" ht="15" hidden="1" customHeight="1" outlineLevel="1" x14ac:dyDescent="0.25">
      <c r="A174" s="9"/>
      <c r="B174" s="16" t="s">
        <v>79</v>
      </c>
      <c r="C174" s="62"/>
      <c r="D174" s="29">
        <v>18852.8</v>
      </c>
      <c r="E174" s="33"/>
      <c r="F174" s="50"/>
      <c r="G174" s="32"/>
      <c r="H174" s="62"/>
      <c r="I174" s="62"/>
    </row>
    <row r="175" spans="1:9" collapsed="1" x14ac:dyDescent="0.25">
      <c r="A175" s="8" t="s">
        <v>163</v>
      </c>
      <c r="B175" s="14" t="s">
        <v>80</v>
      </c>
      <c r="C175" s="67">
        <f>$C$172*0.85</f>
        <v>510000</v>
      </c>
      <c r="D175" s="34">
        <f>SUM(D176)</f>
        <v>235660</v>
      </c>
      <c r="E175" s="28">
        <v>567704.94000000006</v>
      </c>
      <c r="F175" s="48"/>
      <c r="G175" s="27">
        <v>571749.75</v>
      </c>
      <c r="H175" s="77"/>
      <c r="I175" s="72">
        <f>C175/$C$172</f>
        <v>0.85</v>
      </c>
    </row>
    <row r="176" spans="1:9" ht="15.75" hidden="1" customHeight="1" outlineLevel="1" thickBot="1" x14ac:dyDescent="0.25">
      <c r="A176" s="9"/>
      <c r="B176" s="16" t="s">
        <v>81</v>
      </c>
      <c r="C176" s="33"/>
      <c r="D176" s="29">
        <v>235660</v>
      </c>
      <c r="E176" s="33"/>
      <c r="F176" s="33"/>
      <c r="G176" s="16"/>
      <c r="H176" s="33"/>
      <c r="I176" s="33"/>
    </row>
    <row r="177" collapsed="1" x14ac:dyDescent="0.25"/>
  </sheetData>
  <autoFilter ref="A8:I176"/>
  <mergeCells count="5">
    <mergeCell ref="D1:F1"/>
    <mergeCell ref="D5:H5"/>
    <mergeCell ref="C5:C6"/>
    <mergeCell ref="A7:B7"/>
    <mergeCell ref="D2:E3"/>
  </mergeCells>
  <pageMargins left="0.78740157480314965" right="0.78740157480314965" top="0.98425196850393704" bottom="0.78740157480314965" header="0.19685039370078741" footer="0.31496062992125984"/>
  <pageSetup paperSize="8" scale="75" orientation="landscape" r:id="rId1"/>
  <headerFooter>
    <oddHeader>&amp;R&amp;G</oddHeader>
    <oddFooter>&amp;R&amp;"Arial,Normal"&amp;9ANEXO XI - Página &amp;P de &amp;N</oddFooter>
  </headerFooter>
  <legacy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E72725291B6D24699C52EE9F06F0E41" ma:contentTypeVersion="0" ma:contentTypeDescription="Crie um novo documento." ma:contentTypeScope="" ma:versionID="827f8afb5486863ab3aa1e109e4bbfe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cb358bd3c4937f8c29cf3e1e721863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F107F8F-9150-423C-B654-923F65FC63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64FAA54-2091-49A4-8E95-A0B0ABFEA366}">
  <ds:schemaRefs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www.w3.org/XML/1998/namespace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D4703EFE-97BE-4E31-AD2C-7877A139AA6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Plan1</vt:lpstr>
      <vt:lpstr>Plan1!Area_de_impressao</vt:lpstr>
      <vt:lpstr>Plan1!Titulos_de_impressao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Santi Ferri</dc:creator>
  <cp:lastModifiedBy>Santi Ferri</cp:lastModifiedBy>
  <cp:lastPrinted>2020-09-15T14:15:38Z</cp:lastPrinted>
  <dcterms:created xsi:type="dcterms:W3CDTF">2020-09-09T19:18:46Z</dcterms:created>
  <dcterms:modified xsi:type="dcterms:W3CDTF">2020-10-02T22:50:45Z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0x0101009E72725291B6D24699C52EE9F06F0E41</vt:lpwstr>
  </property>
</Properties>
</file>